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Cup'!$A$1:$BU$57</definedName>
    <definedName name="T">T!$1:$1048576</definedName>
  </definedNames>
  <calcPr calcId="125725"/>
</workbook>
</file>

<file path=xl/calcChain.xml><?xml version="1.0" encoding="utf-8"?>
<calcChain xmlns="http://schemas.openxmlformats.org/spreadsheetml/2006/main">
  <c r="B21" i="9"/>
  <c r="B17"/>
  <c r="B46"/>
  <c r="B42"/>
  <c r="A1" i="8"/>
  <c r="BK41"/>
  <c r="BU22"/>
  <c r="BU34"/>
  <c r="BO31"/>
  <c r="BO15"/>
  <c r="BI35"/>
  <c r="BI27"/>
  <c r="BI19"/>
  <c r="BI11"/>
  <c r="BR31"/>
  <c r="BR6"/>
  <c r="BL6"/>
  <c r="BF6"/>
  <c r="AZ6"/>
  <c r="BC37"/>
  <c r="BC33"/>
  <c r="BC21"/>
  <c r="BC17"/>
  <c r="BC29"/>
  <c r="BC25"/>
  <c r="BC13"/>
  <c r="R3" l="1"/>
  <c r="G14" i="9" l="1"/>
  <c r="U38" i="8" l="1"/>
  <c r="U36"/>
  <c r="U25"/>
  <c r="U37"/>
  <c r="U26"/>
  <c r="U14"/>
  <c r="U13"/>
  <c r="U12"/>
  <c r="U71"/>
  <c r="BF27" s="1"/>
  <c r="U69"/>
  <c r="BF11" s="1"/>
  <c r="U85"/>
  <c r="BR22" s="1"/>
  <c r="U72"/>
  <c r="BF35" s="1"/>
  <c r="U70"/>
  <c r="BF19" s="1"/>
  <c r="U76"/>
  <c r="BL15" s="1"/>
  <c r="U81"/>
  <c r="BR34" s="1"/>
  <c r="U77"/>
  <c r="BL31" s="1"/>
  <c r="G13" i="9"/>
  <c r="G46"/>
  <c r="M20" i="8" l="1"/>
  <c r="I44"/>
  <c r="I43"/>
  <c r="I40"/>
  <c r="I39"/>
  <c r="I37"/>
  <c r="I35"/>
  <c r="I25"/>
  <c r="I23"/>
  <c r="I19"/>
  <c r="BC9"/>
  <c r="I53"/>
  <c r="I51"/>
  <c r="I49"/>
  <c r="I47"/>
  <c r="I32"/>
  <c r="I30"/>
  <c r="I28"/>
  <c r="I26"/>
  <c r="I20"/>
  <c r="I16"/>
  <c r="I14"/>
  <c r="I12"/>
  <c r="I9"/>
  <c r="I8"/>
  <c r="I46"/>
  <c r="I45"/>
  <c r="I42"/>
  <c r="I41"/>
  <c r="I38"/>
  <c r="I36"/>
  <c r="I34"/>
  <c r="I24"/>
  <c r="I22"/>
  <c r="I18"/>
  <c r="I54"/>
  <c r="I52"/>
  <c r="I50"/>
  <c r="I48"/>
  <c r="I33"/>
  <c r="I31"/>
  <c r="I29"/>
  <c r="I27"/>
  <c r="I21"/>
  <c r="I17"/>
  <c r="I15"/>
  <c r="I13"/>
  <c r="I11"/>
  <c r="I10"/>
  <c r="I7"/>
  <c r="Q32"/>
  <c r="S38"/>
  <c r="P32"/>
  <c r="U65"/>
  <c r="U63"/>
  <c r="AZ21" s="1"/>
  <c r="U61"/>
  <c r="AZ29" s="1"/>
  <c r="U59"/>
  <c r="AZ13" s="1"/>
  <c r="U54"/>
  <c r="U52"/>
  <c r="U50"/>
  <c r="U48"/>
  <c r="U46"/>
  <c r="U44"/>
  <c r="U42"/>
  <c r="U40"/>
  <c r="U35"/>
  <c r="U33"/>
  <c r="C33" s="1"/>
  <c r="U31"/>
  <c r="U29"/>
  <c r="U27"/>
  <c r="U23"/>
  <c r="B23" s="1"/>
  <c r="U21"/>
  <c r="U19"/>
  <c r="U17"/>
  <c r="U15"/>
  <c r="U64"/>
  <c r="U62"/>
  <c r="AZ17" s="1"/>
  <c r="U60"/>
  <c r="AZ25" s="1"/>
  <c r="U58"/>
  <c r="AZ9" s="1"/>
  <c r="U53"/>
  <c r="C53" s="1"/>
  <c r="U51"/>
  <c r="U49"/>
  <c r="U47"/>
  <c r="U45"/>
  <c r="U43"/>
  <c r="U41"/>
  <c r="D41" s="1"/>
  <c r="U39"/>
  <c r="D39" s="1"/>
  <c r="U34"/>
  <c r="D34" s="1"/>
  <c r="U32"/>
  <c r="C32" s="1"/>
  <c r="U30"/>
  <c r="U28"/>
  <c r="U24"/>
  <c r="U22"/>
  <c r="U20"/>
  <c r="U18"/>
  <c r="U16"/>
  <c r="B32"/>
  <c r="D26"/>
  <c r="B33"/>
  <c r="C14"/>
  <c r="U10"/>
  <c r="U8"/>
  <c r="C8" s="1"/>
  <c r="U11"/>
  <c r="U9"/>
  <c r="D33"/>
  <c r="D37"/>
  <c r="U7"/>
  <c r="D7" s="1"/>
  <c r="C36"/>
  <c r="Q26"/>
  <c r="P8"/>
  <c r="B25"/>
  <c r="M26"/>
  <c r="R26"/>
  <c r="N32"/>
  <c r="S44"/>
  <c r="B45" i="9"/>
  <c r="B40"/>
  <c r="B36"/>
  <c r="B37"/>
  <c r="B35"/>
  <c r="B30"/>
  <c r="B33"/>
  <c r="B25"/>
  <c r="B22"/>
  <c r="B44"/>
  <c r="B43"/>
  <c r="B41"/>
  <c r="B31"/>
  <c r="B32"/>
  <c r="B34"/>
  <c r="B28"/>
  <c r="B26"/>
  <c r="B29"/>
  <c r="B20"/>
  <c r="B24"/>
  <c r="B15"/>
  <c r="B18"/>
  <c r="B19"/>
  <c r="B23"/>
  <c r="B16"/>
  <c r="B27"/>
  <c r="AC9" i="8"/>
  <c r="H7" s="1"/>
  <c r="AC50"/>
  <c r="H53" s="1"/>
  <c r="AC39"/>
  <c r="E48" s="1"/>
  <c r="V48" s="1"/>
  <c r="AC27"/>
  <c r="E44" s="1"/>
  <c r="AC52"/>
  <c r="H54" s="1"/>
  <c r="AC40"/>
  <c r="AC33"/>
  <c r="E50" s="1"/>
  <c r="V50" s="1"/>
  <c r="AC20"/>
  <c r="E11" s="1"/>
  <c r="V11" s="1"/>
  <c r="N20"/>
  <c r="S32"/>
  <c r="R8"/>
  <c r="O44"/>
  <c r="M14"/>
  <c r="AC53"/>
  <c r="AC47"/>
  <c r="AC45"/>
  <c r="E52" s="1"/>
  <c r="V52" s="1"/>
  <c r="AC41"/>
  <c r="AC35"/>
  <c r="H16" s="1"/>
  <c r="AC32"/>
  <c r="AC28"/>
  <c r="E14" s="1"/>
  <c r="V14" s="1"/>
  <c r="AC23"/>
  <c r="AC21"/>
  <c r="H11" s="1"/>
  <c r="AC16"/>
  <c r="H40" s="1"/>
  <c r="AC14"/>
  <c r="E9" s="1"/>
  <c r="V9" s="1"/>
  <c r="AC51"/>
  <c r="AC46"/>
  <c r="H52" s="1"/>
  <c r="AC44"/>
  <c r="H51" s="1"/>
  <c r="AC38"/>
  <c r="E33" s="1"/>
  <c r="AC34"/>
  <c r="H50" s="1"/>
  <c r="AC29"/>
  <c r="E43" s="1"/>
  <c r="AC26"/>
  <c r="AC22"/>
  <c r="E12" s="1"/>
  <c r="AC17"/>
  <c r="AC15"/>
  <c r="N38"/>
  <c r="P14"/>
  <c r="M44"/>
  <c r="O8"/>
  <c r="Q38"/>
  <c r="N44"/>
  <c r="B39" i="9"/>
  <c r="M8" i="8"/>
  <c r="N26"/>
  <c r="P50"/>
  <c r="B38" i="9"/>
  <c r="Q14" i="8"/>
  <c r="N50"/>
  <c r="R38"/>
  <c r="S14"/>
  <c r="P38"/>
  <c r="R50"/>
  <c r="M50"/>
  <c r="R14"/>
  <c r="O50"/>
  <c r="Q8"/>
  <c r="M32"/>
  <c r="O26"/>
  <c r="R44"/>
  <c r="Q20"/>
  <c r="O32"/>
  <c r="P20"/>
  <c r="Q50"/>
  <c r="S8"/>
  <c r="S26"/>
  <c r="M38"/>
  <c r="P26"/>
  <c r="N14"/>
  <c r="N8"/>
  <c r="R20"/>
  <c r="A5"/>
  <c r="S20"/>
  <c r="O38"/>
  <c r="S50"/>
  <c r="R32"/>
  <c r="P44"/>
  <c r="Q44"/>
  <c r="O20"/>
  <c r="O14"/>
  <c r="AC10"/>
  <c r="AC11"/>
  <c r="AC8"/>
  <c r="V44"/>
  <c r="V33"/>
  <c r="H14" l="1"/>
  <c r="H47"/>
  <c r="AZ33"/>
  <c r="AZ37"/>
  <c r="H30"/>
  <c r="E30"/>
  <c r="V30" s="1"/>
  <c r="W30" s="1"/>
  <c r="AN20"/>
  <c r="AN40"/>
  <c r="AN47"/>
  <c r="AN34"/>
  <c r="E17"/>
  <c r="V17" s="1"/>
  <c r="H13"/>
  <c r="AN23"/>
  <c r="AN41"/>
  <c r="AN35"/>
  <c r="AN53"/>
  <c r="H15"/>
  <c r="E16"/>
  <c r="V16" s="1"/>
  <c r="AN44"/>
  <c r="H12"/>
  <c r="AN21"/>
  <c r="AN28"/>
  <c r="AN15"/>
  <c r="AN10"/>
  <c r="AN29"/>
  <c r="H31"/>
  <c r="AN8"/>
  <c r="E22"/>
  <c r="V22" s="1"/>
  <c r="H41"/>
  <c r="H24"/>
  <c r="E40"/>
  <c r="V40" s="1"/>
  <c r="W40" s="1"/>
  <c r="H27"/>
  <c r="H46"/>
  <c r="E20"/>
  <c r="V20" s="1"/>
  <c r="H34"/>
  <c r="E26"/>
  <c r="V26" s="1"/>
  <c r="H39"/>
  <c r="H29"/>
  <c r="E46"/>
  <c r="V46" s="1"/>
  <c r="W46" s="1"/>
  <c r="H44"/>
  <c r="H28"/>
  <c r="E32"/>
  <c r="V32" s="1"/>
  <c r="E49"/>
  <c r="V49" s="1"/>
  <c r="H37"/>
  <c r="H18"/>
  <c r="E36"/>
  <c r="V36" s="1"/>
  <c r="H23"/>
  <c r="H45"/>
  <c r="E27"/>
  <c r="V27" s="1"/>
  <c r="E19"/>
  <c r="V19" s="1"/>
  <c r="H33"/>
  <c r="E21"/>
  <c r="V21" s="1"/>
  <c r="E38"/>
  <c r="V38" s="1"/>
  <c r="W44"/>
  <c r="E41"/>
  <c r="V41" s="1"/>
  <c r="E25"/>
  <c r="H22"/>
  <c r="H42"/>
  <c r="E39"/>
  <c r="V39" s="1"/>
  <c r="W39" s="1"/>
  <c r="E24"/>
  <c r="H43"/>
  <c r="E28"/>
  <c r="V28" s="1"/>
  <c r="E18"/>
  <c r="E34"/>
  <c r="V34" s="1"/>
  <c r="H36"/>
  <c r="H21"/>
  <c r="E45"/>
  <c r="V45" s="1"/>
  <c r="E29"/>
  <c r="V29" s="1"/>
  <c r="W29" s="1"/>
  <c r="E31"/>
  <c r="V31" s="1"/>
  <c r="H49"/>
  <c r="E35"/>
  <c r="V35" s="1"/>
  <c r="H19"/>
  <c r="E37"/>
  <c r="V37" s="1"/>
  <c r="H20"/>
  <c r="H38"/>
  <c r="E23"/>
  <c r="H17"/>
  <c r="H35"/>
  <c r="E42"/>
  <c r="V42" s="1"/>
  <c r="W42" s="1"/>
  <c r="H25"/>
  <c r="C39"/>
  <c r="D32"/>
  <c r="C26"/>
  <c r="B26"/>
  <c r="C23"/>
  <c r="D23"/>
  <c r="B51"/>
  <c r="C51"/>
  <c r="D51"/>
  <c r="B41"/>
  <c r="C41"/>
  <c r="C54"/>
  <c r="D54"/>
  <c r="B54"/>
  <c r="C37"/>
  <c r="B37"/>
  <c r="D30"/>
  <c r="B30"/>
  <c r="C30"/>
  <c r="D21"/>
  <c r="C21"/>
  <c r="B21"/>
  <c r="C45"/>
  <c r="D45"/>
  <c r="B45"/>
  <c r="B48"/>
  <c r="D48"/>
  <c r="C48"/>
  <c r="C43"/>
  <c r="D43"/>
  <c r="B43"/>
  <c r="D19"/>
  <c r="B19"/>
  <c r="C19"/>
  <c r="B10"/>
  <c r="C10"/>
  <c r="D10"/>
  <c r="B7"/>
  <c r="C7"/>
  <c r="B39"/>
  <c r="B22"/>
  <c r="D22"/>
  <c r="C22"/>
  <c r="C17"/>
  <c r="D17"/>
  <c r="B17"/>
  <c r="C44"/>
  <c r="D44"/>
  <c r="B44"/>
  <c r="B12"/>
  <c r="C12"/>
  <c r="D12"/>
  <c r="C40"/>
  <c r="B40"/>
  <c r="D40"/>
  <c r="C34"/>
  <c r="B34"/>
  <c r="D47"/>
  <c r="C47"/>
  <c r="B47"/>
  <c r="D38"/>
  <c r="B38"/>
  <c r="C38"/>
  <c r="D50"/>
  <c r="C50"/>
  <c r="B50"/>
  <c r="B24"/>
  <c r="C24"/>
  <c r="D24"/>
  <c r="B42"/>
  <c r="D42"/>
  <c r="C42"/>
  <c r="B11"/>
  <c r="D11"/>
  <c r="C11"/>
  <c r="B18"/>
  <c r="C18"/>
  <c r="D18"/>
  <c r="C27"/>
  <c r="D27"/>
  <c r="B27"/>
  <c r="D15"/>
  <c r="B15"/>
  <c r="C15"/>
  <c r="C20"/>
  <c r="D20"/>
  <c r="B20"/>
  <c r="B16"/>
  <c r="D16"/>
  <c r="C16"/>
  <c r="B53"/>
  <c r="D53"/>
  <c r="D36"/>
  <c r="B36"/>
  <c r="D8"/>
  <c r="B8"/>
  <c r="C49"/>
  <c r="B49"/>
  <c r="D49"/>
  <c r="B29"/>
  <c r="C29"/>
  <c r="D29"/>
  <c r="C31"/>
  <c r="D31"/>
  <c r="B31"/>
  <c r="C46"/>
  <c r="D46"/>
  <c r="B46"/>
  <c r="D28"/>
  <c r="B28"/>
  <c r="C28"/>
  <c r="C52"/>
  <c r="D52"/>
  <c r="B52"/>
  <c r="C35"/>
  <c r="D35"/>
  <c r="B35"/>
  <c r="B13"/>
  <c r="C13"/>
  <c r="D13"/>
  <c r="D9"/>
  <c r="B9"/>
  <c r="C9"/>
  <c r="B14"/>
  <c r="D14"/>
  <c r="C25"/>
  <c r="D25"/>
  <c r="E54"/>
  <c r="V54" s="1"/>
  <c r="W54" s="1"/>
  <c r="W50"/>
  <c r="E7"/>
  <c r="V7" s="1"/>
  <c r="W7" s="1"/>
  <c r="W17"/>
  <c r="W16"/>
  <c r="E15"/>
  <c r="V15" s="1"/>
  <c r="W15" s="1"/>
  <c r="H48"/>
  <c r="W48" s="1"/>
  <c r="V18"/>
  <c r="W18" s="1"/>
  <c r="W52"/>
  <c r="AN9"/>
  <c r="H26"/>
  <c r="E10"/>
  <c r="V10" s="1"/>
  <c r="H32"/>
  <c r="E13"/>
  <c r="V13" s="1"/>
  <c r="W13" s="1"/>
  <c r="E47"/>
  <c r="V47" s="1"/>
  <c r="W47" s="1"/>
  <c r="AN38"/>
  <c r="V25"/>
  <c r="AN52"/>
  <c r="AN51"/>
  <c r="AN39"/>
  <c r="AN22"/>
  <c r="AN32"/>
  <c r="AN33"/>
  <c r="AN17"/>
  <c r="W11"/>
  <c r="AN50"/>
  <c r="AN14"/>
  <c r="AN45"/>
  <c r="H10"/>
  <c r="AN26"/>
  <c r="H9"/>
  <c r="W9" s="1"/>
  <c r="V43"/>
  <c r="W43" s="1"/>
  <c r="E51"/>
  <c r="V51" s="1"/>
  <c r="W51" s="1"/>
  <c r="E53"/>
  <c r="V53" s="1"/>
  <c r="W53" s="1"/>
  <c r="H8"/>
  <c r="V24"/>
  <c r="W24" s="1"/>
  <c r="E8"/>
  <c r="V8" s="1"/>
  <c r="AN11"/>
  <c r="V23"/>
  <c r="W23" s="1"/>
  <c r="AN16"/>
  <c r="AN46"/>
  <c r="AN27"/>
  <c r="W14"/>
  <c r="W33"/>
  <c r="V12"/>
  <c r="W12" s="1"/>
  <c r="W31" l="1"/>
  <c r="W45"/>
  <c r="W27"/>
  <c r="W28"/>
  <c r="W49"/>
  <c r="W34"/>
  <c r="W25"/>
  <c r="W21"/>
  <c r="AG47"/>
  <c r="AH8"/>
  <c r="AH15"/>
  <c r="AG40"/>
  <c r="W10"/>
  <c r="W32"/>
  <c r="W26"/>
  <c r="W37"/>
  <c r="W8"/>
  <c r="W35"/>
  <c r="W19"/>
  <c r="W38"/>
  <c r="W22"/>
  <c r="W36"/>
  <c r="W20"/>
  <c r="AH39"/>
  <c r="AG15"/>
  <c r="AH50"/>
  <c r="AH53"/>
  <c r="AG21"/>
  <c r="AG8"/>
  <c r="AG46"/>
  <c r="AG14"/>
  <c r="AH20"/>
  <c r="AH27"/>
  <c r="AH16"/>
  <c r="AH52"/>
  <c r="AH10"/>
  <c r="AH28"/>
  <c r="AG28"/>
  <c r="AG11"/>
  <c r="AG53"/>
  <c r="AH32"/>
  <c r="AG9"/>
  <c r="AH23"/>
  <c r="AG10"/>
  <c r="AI10" s="1"/>
  <c r="AH29"/>
  <c r="AH11"/>
  <c r="AH46"/>
  <c r="AH21"/>
  <c r="AJ21" s="1"/>
  <c r="AG27"/>
  <c r="AJ27" s="1"/>
  <c r="AG52"/>
  <c r="AH40"/>
  <c r="AG17"/>
  <c r="AH14"/>
  <c r="AG41"/>
  <c r="AG16"/>
  <c r="AH45"/>
  <c r="AG50"/>
  <c r="AG51"/>
  <c r="AG20"/>
  <c r="AH51"/>
  <c r="AG44"/>
  <c r="AH9"/>
  <c r="AH12" s="1"/>
  <c r="AH17"/>
  <c r="AG45"/>
  <c r="AJ45" s="1"/>
  <c r="AH44"/>
  <c r="AG33"/>
  <c r="AG23"/>
  <c r="AJ23" s="1"/>
  <c r="AH35"/>
  <c r="AG39"/>
  <c r="AH33"/>
  <c r="AH34"/>
  <c r="AG34"/>
  <c r="AH26"/>
  <c r="AH30" s="1"/>
  <c r="AG29"/>
  <c r="AG32"/>
  <c r="AJ32" s="1"/>
  <c r="AH41"/>
  <c r="AJ41" s="1"/>
  <c r="AG26"/>
  <c r="W41"/>
  <c r="AG35"/>
  <c r="AH22"/>
  <c r="AG38"/>
  <c r="AG22"/>
  <c r="AH47"/>
  <c r="AJ47" s="1"/>
  <c r="AH38"/>
  <c r="AF35" l="1"/>
  <c r="AJ26"/>
  <c r="AJ15"/>
  <c r="AE29"/>
  <c r="AJ22"/>
  <c r="AD20"/>
  <c r="AF44"/>
  <c r="AF14"/>
  <c r="AD44"/>
  <c r="AE27"/>
  <c r="AJ35"/>
  <c r="AD51"/>
  <c r="AD23"/>
  <c r="AE45"/>
  <c r="AE33"/>
  <c r="AE38"/>
  <c r="AD22"/>
  <c r="AJ40"/>
  <c r="AD15"/>
  <c r="AF45"/>
  <c r="AE20"/>
  <c r="AD50"/>
  <c r="AE15"/>
  <c r="AL15" s="1"/>
  <c r="AI15" s="1"/>
  <c r="AE34"/>
  <c r="AE46"/>
  <c r="AE26"/>
  <c r="AD17"/>
  <c r="AE35"/>
  <c r="AF38"/>
  <c r="AI8"/>
  <c r="AJ10"/>
  <c r="AJ39"/>
  <c r="AJ20"/>
  <c r="AJ25" s="1"/>
  <c r="AJ24" s="1"/>
  <c r="AK22" s="1"/>
  <c r="AJ50"/>
  <c r="AJ46"/>
  <c r="AF11"/>
  <c r="AD46"/>
  <c r="AF29"/>
  <c r="AE53"/>
  <c r="AF39"/>
  <c r="AD28"/>
  <c r="AE32"/>
  <c r="AD29"/>
  <c r="AF53"/>
  <c r="AD32"/>
  <c r="AF46"/>
  <c r="AF41"/>
  <c r="AD47"/>
  <c r="AE9"/>
  <c r="AF51"/>
  <c r="AD8"/>
  <c r="AD9"/>
  <c r="AF47"/>
  <c r="AF32"/>
  <c r="AF15"/>
  <c r="AE11"/>
  <c r="AE21"/>
  <c r="AF33"/>
  <c r="AJ51"/>
  <c r="AJ14"/>
  <c r="AJ8"/>
  <c r="AH18"/>
  <c r="AJ28"/>
  <c r="AJ53"/>
  <c r="AH54"/>
  <c r="AJ52"/>
  <c r="AJ11"/>
  <c r="AJ34"/>
  <c r="AI9"/>
  <c r="AG12"/>
  <c r="AI11"/>
  <c r="X8" s="1"/>
  <c r="Y8" s="1"/>
  <c r="AF27"/>
  <c r="AG36"/>
  <c r="AH42"/>
  <c r="AH24"/>
  <c r="AJ17"/>
  <c r="AG18"/>
  <c r="AH48"/>
  <c r="AJ44"/>
  <c r="AG54"/>
  <c r="AJ16"/>
  <c r="AG24"/>
  <c r="AG42"/>
  <c r="AG48"/>
  <c r="AG30"/>
  <c r="AH36"/>
  <c r="AE17"/>
  <c r="AD39"/>
  <c r="AJ9"/>
  <c r="AJ29"/>
  <c r="AD35"/>
  <c r="AF50"/>
  <c r="AF8"/>
  <c r="AD40"/>
  <c r="AE51"/>
  <c r="AD11"/>
  <c r="AD27"/>
  <c r="AE47"/>
  <c r="AF52"/>
  <c r="AD45"/>
  <c r="AD16"/>
  <c r="AF20"/>
  <c r="AF34"/>
  <c r="AD10"/>
  <c r="AE52"/>
  <c r="AE40"/>
  <c r="AE28"/>
  <c r="AE39"/>
  <c r="AD41"/>
  <c r="AD26"/>
  <c r="AL26" s="1"/>
  <c r="AI26" s="1"/>
  <c r="AE50"/>
  <c r="AF9"/>
  <c r="AF28"/>
  <c r="AF40"/>
  <c r="AD52"/>
  <c r="AD33"/>
  <c r="AD14"/>
  <c r="AF21"/>
  <c r="AE22"/>
  <c r="AF17"/>
  <c r="AF23"/>
  <c r="AE10"/>
  <c r="AF16"/>
  <c r="AD34"/>
  <c r="AL34" s="1"/>
  <c r="AI34" s="1"/>
  <c r="AD38"/>
  <c r="AE16"/>
  <c r="AE8"/>
  <c r="AF22"/>
  <c r="AD53"/>
  <c r="AE23"/>
  <c r="AE14"/>
  <c r="AF10"/>
  <c r="AE41"/>
  <c r="AD21"/>
  <c r="AE44"/>
  <c r="AF26"/>
  <c r="AJ33"/>
  <c r="AJ38"/>
  <c r="AL46" l="1"/>
  <c r="AI46" s="1"/>
  <c r="AL22"/>
  <c r="AI22" s="1"/>
  <c r="AL44"/>
  <c r="AI44" s="1"/>
  <c r="AL52"/>
  <c r="AI52" s="1"/>
  <c r="AL38"/>
  <c r="AI38" s="1"/>
  <c r="AE30"/>
  <c r="AL27"/>
  <c r="AI27" s="1"/>
  <c r="X13" s="1"/>
  <c r="AL51"/>
  <c r="AI51" s="1"/>
  <c r="AL35"/>
  <c r="AI35" s="1"/>
  <c r="X16" s="1"/>
  <c r="X7"/>
  <c r="Z7" s="1"/>
  <c r="AL29"/>
  <c r="AI29" s="1"/>
  <c r="X30" s="1"/>
  <c r="AL20"/>
  <c r="AI20" s="1"/>
  <c r="AL23"/>
  <c r="AI23" s="1"/>
  <c r="AL33"/>
  <c r="AI33" s="1"/>
  <c r="X50" s="1"/>
  <c r="AE36"/>
  <c r="AJ37"/>
  <c r="AJ36" s="1"/>
  <c r="AK35" s="1"/>
  <c r="AL53"/>
  <c r="AI53" s="1"/>
  <c r="AL8"/>
  <c r="AD18"/>
  <c r="AE54"/>
  <c r="AL17"/>
  <c r="AI17" s="1"/>
  <c r="X24" s="1"/>
  <c r="Z24" s="1"/>
  <c r="AJ43"/>
  <c r="AJ42" s="1"/>
  <c r="AK38" s="1"/>
  <c r="AL47"/>
  <c r="AI47" s="1"/>
  <c r="X51" s="1"/>
  <c r="AL11"/>
  <c r="AJ13"/>
  <c r="AJ12" s="1"/>
  <c r="AL21"/>
  <c r="AI21" s="1"/>
  <c r="AF42"/>
  <c r="AD48"/>
  <c r="AJ49"/>
  <c r="AJ48" s="1"/>
  <c r="AK44" s="1"/>
  <c r="AL9"/>
  <c r="AI13"/>
  <c r="AI12" s="1"/>
  <c r="AF48"/>
  <c r="AL32"/>
  <c r="AI32" s="1"/>
  <c r="AF36"/>
  <c r="AJ55"/>
  <c r="AJ54" s="1"/>
  <c r="AK51" s="1"/>
  <c r="AJ31"/>
  <c r="AJ30" s="1"/>
  <c r="AK29" s="1"/>
  <c r="AF54"/>
  <c r="AL45"/>
  <c r="AI45" s="1"/>
  <c r="AE42"/>
  <c r="AF18"/>
  <c r="AE18"/>
  <c r="AJ19"/>
  <c r="AJ18" s="1"/>
  <c r="AK15" s="1"/>
  <c r="AF12"/>
  <c r="AL28"/>
  <c r="AI28" s="1"/>
  <c r="AL50"/>
  <c r="AI50" s="1"/>
  <c r="AD24"/>
  <c r="AF30"/>
  <c r="AL16"/>
  <c r="AI16" s="1"/>
  <c r="AF24"/>
  <c r="AE48"/>
  <c r="AE24"/>
  <c r="AD42"/>
  <c r="AD54"/>
  <c r="X28"/>
  <c r="Z28" s="1"/>
  <c r="AE12"/>
  <c r="AL10"/>
  <c r="AL40"/>
  <c r="AI40" s="1"/>
  <c r="AL39"/>
  <c r="AD30"/>
  <c r="AD12"/>
  <c r="AD36"/>
  <c r="AL14"/>
  <c r="AL41"/>
  <c r="AI41" s="1"/>
  <c r="Z8"/>
  <c r="AK21"/>
  <c r="AK23"/>
  <c r="AK20"/>
  <c r="X54"/>
  <c r="X25"/>
  <c r="X52" l="1"/>
  <c r="Z52" s="1"/>
  <c r="X44"/>
  <c r="Z44" s="1"/>
  <c r="X20"/>
  <c r="Z20" s="1"/>
  <c r="Y24"/>
  <c r="X12"/>
  <c r="Z12" s="1"/>
  <c r="X23"/>
  <c r="Y23" s="1"/>
  <c r="X10"/>
  <c r="Z10" s="1"/>
  <c r="AL24"/>
  <c r="Y7"/>
  <c r="AK33"/>
  <c r="AI31"/>
  <c r="AI30" s="1"/>
  <c r="X36"/>
  <c r="Z36" s="1"/>
  <c r="X49"/>
  <c r="Y49" s="1"/>
  <c r="Z23"/>
  <c r="X45"/>
  <c r="Y45" s="1"/>
  <c r="X47"/>
  <c r="Y47" s="1"/>
  <c r="AI55"/>
  <c r="AI54" s="1"/>
  <c r="AI37"/>
  <c r="AI36" s="1"/>
  <c r="X32"/>
  <c r="Z32" s="1"/>
  <c r="AK11"/>
  <c r="AK10"/>
  <c r="AK34"/>
  <c r="AK32"/>
  <c r="AK9"/>
  <c r="AL12"/>
  <c r="X31"/>
  <c r="Y31" s="1"/>
  <c r="AK8"/>
  <c r="X19"/>
  <c r="Y19" s="1"/>
  <c r="X15"/>
  <c r="Y15" s="1"/>
  <c r="X40"/>
  <c r="Y40" s="1"/>
  <c r="AL36"/>
  <c r="AK27"/>
  <c r="AK28"/>
  <c r="AL48"/>
  <c r="AI49"/>
  <c r="AI48" s="1"/>
  <c r="AK26"/>
  <c r="X37"/>
  <c r="Y37" s="1"/>
  <c r="X21"/>
  <c r="Y28"/>
  <c r="X27"/>
  <c r="Z27" s="1"/>
  <c r="Y12"/>
  <c r="AK17"/>
  <c r="AK41"/>
  <c r="AL54"/>
  <c r="AL30"/>
  <c r="Y44"/>
  <c r="AK40"/>
  <c r="X18"/>
  <c r="Z18" s="1"/>
  <c r="AK39"/>
  <c r="X46"/>
  <c r="X14"/>
  <c r="AI14"/>
  <c r="AL18"/>
  <c r="AI39"/>
  <c r="AL42"/>
  <c r="AK14"/>
  <c r="AK16"/>
  <c r="AK50"/>
  <c r="AK45"/>
  <c r="AK52"/>
  <c r="AK53"/>
  <c r="AK46"/>
  <c r="AK47"/>
  <c r="Y16"/>
  <c r="Z16"/>
  <c r="Z50"/>
  <c r="Y50"/>
  <c r="Y36"/>
  <c r="Y13"/>
  <c r="Z13"/>
  <c r="Y25"/>
  <c r="Z25"/>
  <c r="Z51"/>
  <c r="Y51"/>
  <c r="Z30"/>
  <c r="Y30"/>
  <c r="X29"/>
  <c r="X11"/>
  <c r="AI25"/>
  <c r="AI24" s="1"/>
  <c r="X43"/>
  <c r="Z54"/>
  <c r="Y54"/>
  <c r="Y52"/>
  <c r="Z45" l="1"/>
  <c r="Y20"/>
  <c r="Y10"/>
  <c r="Y32"/>
  <c r="Z49"/>
  <c r="Z15"/>
  <c r="Z40"/>
  <c r="Z47"/>
  <c r="Z31"/>
  <c r="Z19"/>
  <c r="Y18"/>
  <c r="X34"/>
  <c r="Z34" s="1"/>
  <c r="X35"/>
  <c r="X41"/>
  <c r="Z41" s="1"/>
  <c r="X39"/>
  <c r="Y27"/>
  <c r="Z37"/>
  <c r="Z21"/>
  <c r="Y21"/>
  <c r="Z14"/>
  <c r="Y14"/>
  <c r="Y46"/>
  <c r="Z46"/>
  <c r="X48"/>
  <c r="AI43"/>
  <c r="AI42" s="1"/>
  <c r="X33"/>
  <c r="X17"/>
  <c r="AI19"/>
  <c r="AI18" s="1"/>
  <c r="X26"/>
  <c r="X38"/>
  <c r="X22"/>
  <c r="X9"/>
  <c r="X42"/>
  <c r="X53"/>
  <c r="Y29"/>
  <c r="Z29"/>
  <c r="Y43"/>
  <c r="Z43"/>
  <c r="Z11"/>
  <c r="Y11"/>
  <c r="Y41" l="1"/>
  <c r="Y34"/>
  <c r="Y39"/>
  <c r="Z39"/>
  <c r="Z35"/>
  <c r="Y35"/>
  <c r="AS10"/>
  <c r="AR20"/>
  <c r="AT17"/>
  <c r="AQ35"/>
  <c r="AQ27"/>
  <c r="AS35"/>
  <c r="AQ33"/>
  <c r="AT28"/>
  <c r="AQ15"/>
  <c r="AT9"/>
  <c r="AT27"/>
  <c r="AR50"/>
  <c r="AR47"/>
  <c r="AR23"/>
  <c r="AT40"/>
  <c r="AS17"/>
  <c r="AT32"/>
  <c r="AR32"/>
  <c r="AS33"/>
  <c r="AQ41"/>
  <c r="AS22"/>
  <c r="AR44"/>
  <c r="AQ14"/>
  <c r="AR39"/>
  <c r="AQ53"/>
  <c r="AQ28"/>
  <c r="AQ16"/>
  <c r="AS20"/>
  <c r="AT53"/>
  <c r="AQ50"/>
  <c r="AT41"/>
  <c r="AT22"/>
  <c r="AQ46"/>
  <c r="AT34"/>
  <c r="AR46"/>
  <c r="AS45"/>
  <c r="AS44"/>
  <c r="AT44"/>
  <c r="AR8"/>
  <c r="AS9"/>
  <c r="AU9" s="1"/>
  <c r="AT38"/>
  <c r="AT15"/>
  <c r="AS46"/>
  <c r="AS40"/>
  <c r="AR51"/>
  <c r="AR11"/>
  <c r="AQ32"/>
  <c r="AR22"/>
  <c r="AR26"/>
  <c r="AR17"/>
  <c r="AQ10"/>
  <c r="AQ52"/>
  <c r="AS41"/>
  <c r="AU41" s="1"/>
  <c r="AR21"/>
  <c r="AS27"/>
  <c r="AU27" s="1"/>
  <c r="AR28"/>
  <c r="AQ9"/>
  <c r="AS29"/>
  <c r="AR27"/>
  <c r="AS11"/>
  <c r="AQ20"/>
  <c r="AT51"/>
  <c r="AR15"/>
  <c r="AS53"/>
  <c r="AS52"/>
  <c r="AT45"/>
  <c r="AU45" s="1"/>
  <c r="AT10"/>
  <c r="AU10" s="1"/>
  <c r="AT35"/>
  <c r="AR35"/>
  <c r="AQ34"/>
  <c r="AT20"/>
  <c r="AR45"/>
  <c r="AT21"/>
  <c r="AR53"/>
  <c r="AQ47"/>
  <c r="AS15"/>
  <c r="AU15" s="1"/>
  <c r="AS21"/>
  <c r="AU21" s="1"/>
  <c r="AQ21"/>
  <c r="AQ11"/>
  <c r="AT26"/>
  <c r="AQ29"/>
  <c r="AS14"/>
  <c r="AR10"/>
  <c r="AT33"/>
  <c r="AQ23"/>
  <c r="AS38"/>
  <c r="AS39"/>
  <c r="AQ51"/>
  <c r="AQ38"/>
  <c r="AT47"/>
  <c r="AS26"/>
  <c r="AQ44"/>
  <c r="AQ26"/>
  <c r="AR34"/>
  <c r="AR16"/>
  <c r="AR29"/>
  <c r="AT52"/>
  <c r="AQ17"/>
  <c r="AS8"/>
  <c r="AR33"/>
  <c r="AT29"/>
  <c r="AT46"/>
  <c r="AR52"/>
  <c r="AR41"/>
  <c r="AR9"/>
  <c r="AS16"/>
  <c r="AS18" s="1"/>
  <c r="AR40"/>
  <c r="AQ22"/>
  <c r="AQ39"/>
  <c r="AQ40"/>
  <c r="AQ8"/>
  <c r="AQ12" s="1"/>
  <c r="AT23"/>
  <c r="AS51"/>
  <c r="AS23"/>
  <c r="AT8"/>
  <c r="AT14"/>
  <c r="AT39"/>
  <c r="AT42" s="1"/>
  <c r="AS32"/>
  <c r="AS47"/>
  <c r="AR14"/>
  <c r="AR38"/>
  <c r="AS28"/>
  <c r="AU28" s="1"/>
  <c r="AQ45"/>
  <c r="AS50"/>
  <c r="AT11"/>
  <c r="Y53"/>
  <c r="Z53"/>
  <c r="Z9"/>
  <c r="AT16"/>
  <c r="Y9"/>
  <c r="AS34"/>
  <c r="Y38"/>
  <c r="Z38"/>
  <c r="Y33"/>
  <c r="Z33"/>
  <c r="Z48"/>
  <c r="Y48"/>
  <c r="Z42"/>
  <c r="Y42"/>
  <c r="Y22"/>
  <c r="Z22"/>
  <c r="Y26"/>
  <c r="Z26"/>
  <c r="Y17"/>
  <c r="Z17"/>
  <c r="AT50"/>
  <c r="AT48" l="1"/>
  <c r="AR24"/>
  <c r="AU23"/>
  <c r="AU33"/>
  <c r="AU34"/>
  <c r="AU35"/>
  <c r="AT54"/>
  <c r="AS42"/>
  <c r="AU32"/>
  <c r="AQ18"/>
  <c r="AT36"/>
  <c r="AU26"/>
  <c r="AR48"/>
  <c r="AQ36"/>
  <c r="AU53"/>
  <c r="AS48"/>
  <c r="AU11"/>
  <c r="AU51"/>
  <c r="AR12"/>
  <c r="AR54"/>
  <c r="AT30"/>
  <c r="AS12"/>
  <c r="AQ30"/>
  <c r="AU20"/>
  <c r="AS54"/>
  <c r="AT24"/>
  <c r="AR36"/>
  <c r="AR30"/>
  <c r="AQ54"/>
  <c r="AU38"/>
  <c r="AU40"/>
  <c r="AU17"/>
  <c r="AR18"/>
  <c r="AQ42"/>
  <c r="AT12"/>
  <c r="AU22"/>
  <c r="AU46"/>
  <c r="AU29"/>
  <c r="AU44"/>
  <c r="AT18"/>
  <c r="AR42"/>
  <c r="AQ48"/>
  <c r="AU47"/>
  <c r="AU14"/>
  <c r="AQ24"/>
  <c r="AS24"/>
  <c r="AU16"/>
  <c r="AS30"/>
  <c r="AU8"/>
  <c r="AU39"/>
  <c r="AU52"/>
  <c r="AS36"/>
  <c r="AU50"/>
  <c r="AU30" l="1"/>
  <c r="AM27" s="1"/>
  <c r="AU24"/>
  <c r="AM21" s="1"/>
  <c r="AU36"/>
  <c r="AM34" s="1"/>
  <c r="AU42"/>
  <c r="AM41" s="1"/>
  <c r="AU12"/>
  <c r="AM10" s="1"/>
  <c r="AU18"/>
  <c r="AM17" s="1"/>
  <c r="AU48"/>
  <c r="AM46" s="1"/>
  <c r="AU54"/>
  <c r="AM26" l="1"/>
  <c r="AM28"/>
  <c r="AM29"/>
  <c r="AM16"/>
  <c r="AM38"/>
  <c r="AM23"/>
  <c r="AM22"/>
  <c r="AM33"/>
  <c r="AM35"/>
  <c r="AM20"/>
  <c r="AM32"/>
  <c r="AM11"/>
  <c r="AM9"/>
  <c r="AM44"/>
  <c r="AM40"/>
  <c r="AM39"/>
  <c r="AM15"/>
  <c r="AM8"/>
  <c r="AM47"/>
  <c r="AM45"/>
  <c r="AM14"/>
  <c r="AM53"/>
  <c r="AM50"/>
  <c r="AM52"/>
  <c r="AM51"/>
  <c r="AM30" l="1"/>
  <c r="AO27" s="1"/>
  <c r="AM48"/>
  <c r="AO44" s="1"/>
  <c r="AM24"/>
  <c r="AO20" s="1"/>
  <c r="AM36"/>
  <c r="AO35" s="1"/>
  <c r="AM12"/>
  <c r="AO9" s="1"/>
  <c r="AM18"/>
  <c r="AO14" s="1"/>
  <c r="AM42"/>
  <c r="AO39" s="1"/>
  <c r="AM54"/>
  <c r="AO28" l="1"/>
  <c r="AO26"/>
  <c r="AO29"/>
  <c r="AO46"/>
  <c r="AO47"/>
  <c r="AO45"/>
  <c r="AO16"/>
  <c r="AO32"/>
  <c r="AO34"/>
  <c r="AO8"/>
  <c r="AO38"/>
  <c r="AO40"/>
  <c r="AO23"/>
  <c r="AO17"/>
  <c r="AO41"/>
  <c r="AO21"/>
  <c r="AO22"/>
  <c r="AO33"/>
  <c r="AO10"/>
  <c r="AO11"/>
  <c r="AO15"/>
  <c r="AO53"/>
  <c r="AO50"/>
  <c r="AO52"/>
  <c r="AO51"/>
  <c r="AB28" l="1"/>
  <c r="AB27"/>
  <c r="AB26"/>
  <c r="AB33"/>
  <c r="AB39"/>
  <c r="AB45"/>
  <c r="AB29"/>
  <c r="AB32"/>
  <c r="R35" s="1"/>
  <c r="AB34"/>
  <c r="AB47"/>
  <c r="AB46"/>
  <c r="AB44"/>
  <c r="O45" s="1"/>
  <c r="AB41"/>
  <c r="AB40"/>
  <c r="AB38"/>
  <c r="AB16"/>
  <c r="AB35"/>
  <c r="AB23"/>
  <c r="AB14"/>
  <c r="AB17"/>
  <c r="AB21"/>
  <c r="AB20"/>
  <c r="O21" s="1"/>
  <c r="AB22"/>
  <c r="AB9"/>
  <c r="AB10"/>
  <c r="AB8"/>
  <c r="AB11"/>
  <c r="AB15"/>
  <c r="AB51"/>
  <c r="AB50"/>
  <c r="AB52"/>
  <c r="AB53"/>
  <c r="P29" l="1"/>
  <c r="M48"/>
  <c r="Q29"/>
  <c r="R29"/>
  <c r="R28"/>
  <c r="Q30"/>
  <c r="M29"/>
  <c r="O29"/>
  <c r="M27"/>
  <c r="AP26" s="1"/>
  <c r="BA30" s="1"/>
  <c r="V61" s="1"/>
  <c r="W61" s="1"/>
  <c r="BG29" s="1"/>
  <c r="R30"/>
  <c r="P30"/>
  <c r="O27"/>
  <c r="R46"/>
  <c r="P27"/>
  <c r="R45"/>
  <c r="R27"/>
  <c r="P46"/>
  <c r="O47"/>
  <c r="Q47"/>
  <c r="P33"/>
  <c r="M35"/>
  <c r="Q27"/>
  <c r="M30"/>
  <c r="M28"/>
  <c r="AP27" s="1"/>
  <c r="BA15" s="1"/>
  <c r="V59" s="1"/>
  <c r="W59" s="1"/>
  <c r="BG13" s="1"/>
  <c r="O30"/>
  <c r="N30" s="1"/>
  <c r="Q33"/>
  <c r="P28"/>
  <c r="Q28"/>
  <c r="O28"/>
  <c r="S28" s="1"/>
  <c r="O46"/>
  <c r="Q45"/>
  <c r="O48"/>
  <c r="P45"/>
  <c r="N45" s="1"/>
  <c r="Q46"/>
  <c r="R47"/>
  <c r="M46"/>
  <c r="AP45" s="1"/>
  <c r="BA39" s="1"/>
  <c r="O33"/>
  <c r="S33" s="1"/>
  <c r="M34"/>
  <c r="AP33" s="1"/>
  <c r="BA35" s="1"/>
  <c r="P35"/>
  <c r="M9"/>
  <c r="AP8" s="1"/>
  <c r="BA10" s="1"/>
  <c r="V58" s="1"/>
  <c r="W58" s="1"/>
  <c r="BG12" s="1"/>
  <c r="R40"/>
  <c r="P39"/>
  <c r="M33"/>
  <c r="AP32" s="1"/>
  <c r="BA18" s="1"/>
  <c r="V62" s="1"/>
  <c r="W62" s="1"/>
  <c r="BG20" s="1"/>
  <c r="R33"/>
  <c r="O34"/>
  <c r="Q34"/>
  <c r="Q48"/>
  <c r="M45"/>
  <c r="AP44" s="1"/>
  <c r="BA22" s="1"/>
  <c r="V63" s="1"/>
  <c r="W63" s="1"/>
  <c r="BG21" s="1"/>
  <c r="O35"/>
  <c r="Q35"/>
  <c r="R34"/>
  <c r="P40"/>
  <c r="S30"/>
  <c r="Q40"/>
  <c r="O41"/>
  <c r="M40"/>
  <c r="AP39" s="1"/>
  <c r="BA19" s="1"/>
  <c r="P15"/>
  <c r="Q41"/>
  <c r="S29"/>
  <c r="M47"/>
  <c r="Q39"/>
  <c r="Q24"/>
  <c r="O11"/>
  <c r="P21"/>
  <c r="S21" s="1"/>
  <c r="Q36"/>
  <c r="P48"/>
  <c r="P47"/>
  <c r="N47" s="1"/>
  <c r="R48"/>
  <c r="P34"/>
  <c r="S34" s="1"/>
  <c r="O40"/>
  <c r="N40" s="1"/>
  <c r="Q12"/>
  <c r="M17"/>
  <c r="O9"/>
  <c r="R15"/>
  <c r="R41"/>
  <c r="P42"/>
  <c r="P41"/>
  <c r="M42"/>
  <c r="O42"/>
  <c r="Q42"/>
  <c r="R39"/>
  <c r="M39"/>
  <c r="AP38" s="1"/>
  <c r="BA34" s="1"/>
  <c r="V64" s="1"/>
  <c r="W64" s="1"/>
  <c r="BG36" s="1"/>
  <c r="M41"/>
  <c r="O39"/>
  <c r="S39" s="1"/>
  <c r="R42"/>
  <c r="Q10"/>
  <c r="M22"/>
  <c r="AP21" s="1"/>
  <c r="BA31" s="1"/>
  <c r="R16"/>
  <c r="M15"/>
  <c r="AP14" s="1"/>
  <c r="BA26" s="1"/>
  <c r="V60" s="1"/>
  <c r="W60" s="1"/>
  <c r="BG28" s="1"/>
  <c r="R36"/>
  <c r="M36"/>
  <c r="O36"/>
  <c r="R22"/>
  <c r="O12"/>
  <c r="P24"/>
  <c r="Q16"/>
  <c r="R12"/>
  <c r="Q17"/>
  <c r="O15"/>
  <c r="P36"/>
  <c r="Q15"/>
  <c r="O17"/>
  <c r="Q22"/>
  <c r="M21"/>
  <c r="AP20" s="1"/>
  <c r="BA14" s="1"/>
  <c r="R21"/>
  <c r="R23"/>
  <c r="O22"/>
  <c r="Q21"/>
  <c r="Q23"/>
  <c r="O24"/>
  <c r="P22"/>
  <c r="S27"/>
  <c r="P10"/>
  <c r="O23"/>
  <c r="Q11"/>
  <c r="R10"/>
  <c r="P23"/>
  <c r="M24"/>
  <c r="R24"/>
  <c r="M23"/>
  <c r="M10"/>
  <c r="AP9" s="1"/>
  <c r="BA27" s="1"/>
  <c r="M12"/>
  <c r="Q9"/>
  <c r="M11"/>
  <c r="P12"/>
  <c r="P11"/>
  <c r="P9"/>
  <c r="S9" s="1"/>
  <c r="R11"/>
  <c r="M16"/>
  <c r="AP15" s="1"/>
  <c r="BA11" s="1"/>
  <c r="R17"/>
  <c r="P16"/>
  <c r="R9"/>
  <c r="M18"/>
  <c r="V70"/>
  <c r="W70" s="1"/>
  <c r="BM17" s="1"/>
  <c r="X76" s="1"/>
  <c r="AA76" s="1"/>
  <c r="BS35" s="1"/>
  <c r="V69"/>
  <c r="W69" s="1"/>
  <c r="BM16" s="1"/>
  <c r="V76" s="1"/>
  <c r="W76" s="1"/>
  <c r="BS23" s="1"/>
  <c r="O10"/>
  <c r="O16"/>
  <c r="P18"/>
  <c r="O18"/>
  <c r="R18"/>
  <c r="P17"/>
  <c r="Q18"/>
  <c r="S41"/>
  <c r="N27"/>
  <c r="N29"/>
  <c r="S40"/>
  <c r="S35"/>
  <c r="S48"/>
  <c r="S46"/>
  <c r="Q51"/>
  <c r="Q53"/>
  <c r="P53"/>
  <c r="M53"/>
  <c r="O54"/>
  <c r="Q54"/>
  <c r="R53"/>
  <c r="M54"/>
  <c r="P52"/>
  <c r="Q52"/>
  <c r="P54"/>
  <c r="R52"/>
  <c r="P51"/>
  <c r="R51"/>
  <c r="O52"/>
  <c r="M52"/>
  <c r="AP51" s="1"/>
  <c r="BA23" s="1"/>
  <c r="O51"/>
  <c r="R54"/>
  <c r="M51"/>
  <c r="AP50" s="1"/>
  <c r="BA38" s="1"/>
  <c r="V65" s="1"/>
  <c r="W65" s="1"/>
  <c r="BG37" s="1"/>
  <c r="O53"/>
  <c r="S45" l="1"/>
  <c r="N33"/>
  <c r="N41"/>
  <c r="N46"/>
  <c r="S47"/>
  <c r="N28"/>
  <c r="S42"/>
  <c r="N48"/>
  <c r="N35"/>
  <c r="N34"/>
  <c r="N22"/>
  <c r="N15"/>
  <c r="S15"/>
  <c r="S11"/>
  <c r="S22"/>
  <c r="N21"/>
  <c r="N10"/>
  <c r="N42"/>
  <c r="N36"/>
  <c r="N39"/>
  <c r="N23"/>
  <c r="S17"/>
  <c r="N17"/>
  <c r="S12"/>
  <c r="S24"/>
  <c r="S23"/>
  <c r="N11"/>
  <c r="S10"/>
  <c r="S36"/>
  <c r="N24"/>
  <c r="N12"/>
  <c r="N9"/>
  <c r="N16"/>
  <c r="S16"/>
  <c r="N18"/>
  <c r="S18"/>
  <c r="V72"/>
  <c r="W72" s="1"/>
  <c r="BM33" s="1"/>
  <c r="V71"/>
  <c r="W71" s="1"/>
  <c r="BM32" s="1"/>
  <c r="N53"/>
  <c r="S53"/>
  <c r="N51"/>
  <c r="S51"/>
  <c r="S52"/>
  <c r="N52"/>
  <c r="S54"/>
  <c r="N54"/>
  <c r="V77" l="1"/>
  <c r="W77" s="1"/>
  <c r="BS24" s="1"/>
  <c r="V85" s="1"/>
  <c r="BP41" s="1"/>
  <c r="X77"/>
  <c r="AA77" s="1"/>
  <c r="BS36" s="1"/>
  <c r="W81" s="1"/>
  <c r="W85" l="1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<sst xmlns="http://schemas.openxmlformats.org/spreadsheetml/2006/main" count="4938" uniqueCount="2749">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</sst>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;;;"/>
  </numFmts>
  <fonts count="17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 style="thin">
        <color theme="3" tint="0.39994506668294322"/>
      </left>
      <right/>
      <top/>
      <bottom/>
      <diagonal/>
    </border>
    <border>
      <left/>
      <right/>
      <top/>
      <bottom style="thin">
        <color indexed="48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2" xfId="0" applyFont="1" applyFill="1" applyBorder="1" applyAlignment="1" applyProtection="1">
      <alignment horizontal="center" vertical="center"/>
      <protection locked="0"/>
    </xf>
    <xf numFmtId="0" fontId="5" fillId="6" borderId="43" xfId="0" applyFont="1" applyFill="1" applyBorder="1" applyAlignment="1" applyProtection="1">
      <alignment horizontal="center" vertical="center"/>
      <protection locked="0"/>
    </xf>
    <xf numFmtId="0" fontId="5" fillId="6" borderId="44" xfId="0" applyFont="1" applyFill="1" applyBorder="1" applyAlignment="1" applyProtection="1">
      <alignment horizontal="center" vertical="center"/>
      <protection locked="0"/>
    </xf>
    <xf numFmtId="0" fontId="5" fillId="6" borderId="45" xfId="0" applyFont="1" applyFill="1" applyBorder="1" applyAlignment="1" applyProtection="1">
      <alignment horizontal="center" vertical="center"/>
      <protection locked="0"/>
    </xf>
    <xf numFmtId="0" fontId="5" fillId="6" borderId="40" xfId="0" applyFont="1" applyFill="1" applyBorder="1" applyAlignment="1" applyProtection="1">
      <alignment horizontal="center" vertical="center"/>
      <protection locked="0"/>
    </xf>
    <xf numFmtId="0" fontId="5" fillId="6" borderId="41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59" xfId="0" applyFill="1" applyBorder="1" applyAlignment="1" applyProtection="1">
      <alignment horizontal="center" vertical="center" shrinkToFit="1"/>
      <protection hidden="1"/>
    </xf>
    <xf numFmtId="0" fontId="1" fillId="8" borderId="60" xfId="0" applyFont="1" applyFill="1" applyBorder="1" applyAlignment="1" applyProtection="1">
      <alignment horizontal="center" vertical="center" shrinkToFit="1"/>
      <protection hidden="1"/>
    </xf>
    <xf numFmtId="0" fontId="0" fillId="8" borderId="60" xfId="0" applyFill="1" applyBorder="1" applyAlignment="1" applyProtection="1">
      <alignment horizontal="center" vertical="center" shrinkToFit="1"/>
      <protection hidden="1"/>
    </xf>
    <xf numFmtId="164" fontId="0" fillId="8" borderId="61" xfId="0" applyNumberFormat="1" applyFill="1" applyBorder="1" applyAlignment="1" applyProtection="1">
      <alignment horizontal="center" vertical="center" shrinkToFit="1"/>
      <protection hidden="1"/>
    </xf>
    <xf numFmtId="0" fontId="0" fillId="8" borderId="58" xfId="0" applyFill="1" applyBorder="1" applyAlignment="1" applyProtection="1">
      <alignment horizontal="right" vertical="center" indent="3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0" fontId="1" fillId="8" borderId="31" xfId="0" applyFont="1" applyFill="1" applyBorder="1" applyAlignment="1" applyProtection="1">
      <alignment horizontal="center" vertical="center" shrinkToFit="1"/>
      <protection hidden="1"/>
    </xf>
    <xf numFmtId="0" fontId="0" fillId="8" borderId="31" xfId="0" applyFill="1" applyBorder="1" applyAlignment="1" applyProtection="1">
      <alignment horizontal="center" vertical="center" shrinkToFit="1"/>
      <protection hidden="1"/>
    </xf>
    <xf numFmtId="164" fontId="0" fillId="8" borderId="32" xfId="0" applyNumberFormat="1" applyFill="1" applyBorder="1" applyAlignment="1" applyProtection="1">
      <alignment horizontal="center" vertical="center" shrinkToFit="1"/>
      <protection hidden="1"/>
    </xf>
    <xf numFmtId="0" fontId="0" fillId="8" borderId="43" xfId="0" applyFill="1" applyBorder="1" applyAlignment="1" applyProtection="1">
      <alignment horizontal="right" vertical="center" indent="3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0" fontId="1" fillId="8" borderId="35" xfId="0" applyFont="1" applyFill="1" applyBorder="1" applyAlignment="1" applyProtection="1">
      <alignment horizontal="center" vertical="center" shrinkToFit="1"/>
      <protection hidden="1"/>
    </xf>
    <xf numFmtId="0" fontId="0" fillId="8" borderId="35" xfId="0" applyFill="1" applyBorder="1" applyAlignment="1" applyProtection="1">
      <alignment horizontal="center" vertical="center" shrinkToFit="1"/>
      <protection hidden="1"/>
    </xf>
    <xf numFmtId="164" fontId="0" fillId="8" borderId="36" xfId="0" applyNumberFormat="1" applyFill="1" applyBorder="1" applyAlignment="1" applyProtection="1">
      <alignment horizontal="center" vertical="center" shrinkToFit="1"/>
      <protection hidden="1"/>
    </xf>
    <xf numFmtId="0" fontId="0" fillId="8" borderId="45" xfId="0" applyFill="1" applyBorder="1" applyAlignment="1" applyProtection="1">
      <alignment horizontal="right" vertical="center" indent="3" shrinkToFit="1"/>
      <protection hidden="1"/>
    </xf>
    <xf numFmtId="0" fontId="0" fillId="8" borderId="48" xfId="0" applyFill="1" applyBorder="1" applyAlignment="1" applyProtection="1">
      <alignment horizontal="left" vertical="center" indent="3" shrinkToFit="1"/>
      <protection hidden="1"/>
    </xf>
    <xf numFmtId="0" fontId="0" fillId="8" borderId="32" xfId="0" applyFill="1" applyBorder="1" applyAlignment="1" applyProtection="1">
      <alignment horizontal="left" vertical="center" indent="3" shrinkToFit="1"/>
      <protection hidden="1"/>
    </xf>
    <xf numFmtId="0" fontId="0" fillId="8" borderId="36" xfId="0" applyFill="1" applyBorder="1" applyAlignment="1" applyProtection="1">
      <alignment horizontal="left" vertical="center" indent="3" shrinkToFit="1"/>
      <protection hidden="1"/>
    </xf>
    <xf numFmtId="0" fontId="0" fillId="8" borderId="0" xfId="0" applyFill="1" applyAlignment="1" applyProtection="1">
      <alignment vertical="center"/>
      <protection hidden="1"/>
    </xf>
    <xf numFmtId="0" fontId="0" fillId="8" borderId="86" xfId="0" applyFill="1" applyBorder="1" applyAlignment="1" applyProtection="1">
      <alignment vertical="center"/>
      <protection hidden="1"/>
    </xf>
    <xf numFmtId="0" fontId="0" fillId="8" borderId="88" xfId="0" applyFill="1" applyBorder="1" applyAlignment="1" applyProtection="1">
      <alignment vertical="center"/>
      <protection hidden="1"/>
    </xf>
    <xf numFmtId="0" fontId="0" fillId="8" borderId="85" xfId="0" applyFill="1" applyBorder="1" applyAlignment="1" applyProtection="1">
      <alignment vertical="center"/>
      <protection hidden="1"/>
    </xf>
    <xf numFmtId="0" fontId="0" fillId="8" borderId="87" xfId="0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vertical="center"/>
      <protection hidden="1"/>
    </xf>
    <xf numFmtId="0" fontId="0" fillId="8" borderId="89" xfId="0" applyFill="1" applyBorder="1" applyAlignment="1" applyProtection="1">
      <alignment vertical="center"/>
      <protection hidden="1"/>
    </xf>
    <xf numFmtId="0" fontId="0" fillId="8" borderId="29" xfId="0" applyFill="1" applyBorder="1" applyAlignment="1" applyProtection="1">
      <alignment horizontal="left" vertical="center" shrinkToFit="1"/>
      <protection hidden="1"/>
    </xf>
    <xf numFmtId="0" fontId="0" fillId="8" borderId="34" xfId="0" applyFill="1" applyBorder="1" applyAlignment="1" applyProtection="1">
      <alignment horizontal="left" vertical="center" shrinkToFit="1"/>
      <protection hidden="1"/>
    </xf>
    <xf numFmtId="0" fontId="1" fillId="8" borderId="90" xfId="0" applyFont="1" applyFill="1" applyBorder="1" applyAlignment="1" applyProtection="1">
      <alignment horizontal="right" vertical="center"/>
      <protection hidden="1"/>
    </xf>
    <xf numFmtId="0" fontId="1" fillId="8" borderId="0" xfId="0" applyFont="1" applyFill="1" applyBorder="1" applyAlignment="1" applyProtection="1">
      <alignment horizontal="right" vertical="center"/>
      <protection hidden="1"/>
    </xf>
    <xf numFmtId="0" fontId="0" fillId="8" borderId="0" xfId="0" applyFill="1" applyAlignment="1" applyProtection="1">
      <alignment horizontal="right" vertical="center"/>
      <protection hidden="1"/>
    </xf>
    <xf numFmtId="0" fontId="1" fillId="6" borderId="57" xfId="0" applyFont="1" applyFill="1" applyBorder="1" applyAlignment="1" applyProtection="1">
      <alignment horizontal="center" vertical="center"/>
      <protection locked="0"/>
    </xf>
    <xf numFmtId="0" fontId="1" fillId="6" borderId="58" xfId="0" applyFont="1" applyFill="1" applyBorder="1" applyAlignment="1" applyProtection="1">
      <alignment horizontal="center" vertical="center"/>
      <protection locked="0"/>
    </xf>
    <xf numFmtId="0" fontId="1" fillId="6" borderId="42" xfId="0" applyFont="1" applyFill="1" applyBorder="1" applyAlignment="1" applyProtection="1">
      <alignment horizontal="center" vertical="center"/>
      <protection locked="0"/>
    </xf>
    <xf numFmtId="0" fontId="1" fillId="6" borderId="43" xfId="0" applyFont="1" applyFill="1" applyBorder="1" applyAlignment="1" applyProtection="1">
      <alignment horizontal="center" vertical="center"/>
      <protection locked="0"/>
    </xf>
    <xf numFmtId="0" fontId="16" fillId="5" borderId="91" xfId="0" applyFont="1" applyFill="1" applyBorder="1" applyAlignment="1" applyProtection="1">
      <alignment horizontal="center" vertical="center"/>
      <protection hidden="1"/>
    </xf>
    <xf numFmtId="0" fontId="16" fillId="5" borderId="92" xfId="0" applyFont="1" applyFill="1" applyBorder="1" applyAlignment="1" applyProtection="1">
      <alignment horizontal="center" vertical="center"/>
      <protection hidden="1"/>
    </xf>
    <xf numFmtId="0" fontId="16" fillId="5" borderId="93" xfId="0" applyFont="1" applyFill="1" applyBorder="1" applyAlignment="1" applyProtection="1">
      <alignment horizontal="center" vertical="center"/>
      <protection hidden="1"/>
    </xf>
    <xf numFmtId="0" fontId="16" fillId="5" borderId="94" xfId="0" applyFont="1" applyFill="1" applyBorder="1" applyAlignment="1" applyProtection="1">
      <alignment horizontal="center" vertical="center"/>
      <protection hidden="1"/>
    </xf>
    <xf numFmtId="0" fontId="16" fillId="5" borderId="95" xfId="0" applyFont="1" applyFill="1" applyBorder="1" applyAlignment="1" applyProtection="1">
      <alignment horizontal="center" vertical="center"/>
      <protection hidden="1"/>
    </xf>
    <xf numFmtId="0" fontId="16" fillId="5" borderId="96" xfId="0" applyFont="1" applyFill="1" applyBorder="1" applyAlignment="1" applyProtection="1">
      <alignment horizontal="center" vertical="center"/>
      <protection hidden="1"/>
    </xf>
    <xf numFmtId="0" fontId="0" fillId="8" borderId="83" xfId="0" applyFill="1" applyBorder="1" applyAlignment="1" applyProtection="1">
      <alignment horizontal="center" vertical="center"/>
      <protection hidden="1"/>
    </xf>
    <xf numFmtId="0" fontId="0" fillId="8" borderId="84" xfId="0" applyFill="1" applyBorder="1" applyAlignment="1" applyProtection="1">
      <alignment horizontal="center" vertical="center"/>
      <protection hidden="1"/>
    </xf>
    <xf numFmtId="0" fontId="1" fillId="8" borderId="49" xfId="0" applyFont="1" applyFill="1" applyBorder="1" applyAlignment="1" applyProtection="1">
      <alignment horizontal="right" vertical="center" shrinkToFit="1"/>
      <protection hidden="1"/>
    </xf>
    <xf numFmtId="0" fontId="0" fillId="8" borderId="47" xfId="0" applyFill="1" applyBorder="1" applyAlignment="1" applyProtection="1">
      <alignment horizontal="right" vertical="center" shrinkToFit="1"/>
      <protection hidden="1"/>
    </xf>
    <xf numFmtId="0" fontId="0" fillId="8" borderId="50" xfId="0" applyFill="1" applyBorder="1" applyAlignment="1" applyProtection="1">
      <alignment horizontal="right" vertical="center" shrinkToFit="1"/>
      <protection hidden="1"/>
    </xf>
    <xf numFmtId="0" fontId="1" fillId="8" borderId="33" xfId="0" applyFont="1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3" fillId="0" borderId="46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46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5" fillId="7" borderId="77" xfId="0" applyFont="1" applyFill="1" applyBorder="1" applyAlignment="1" applyProtection="1">
      <alignment horizontal="center" vertical="center"/>
      <protection hidden="1"/>
    </xf>
    <xf numFmtId="0" fontId="15" fillId="7" borderId="78" xfId="0" applyFont="1" applyFill="1" applyBorder="1" applyAlignment="1" applyProtection="1">
      <alignment horizontal="center" vertical="center"/>
      <protection hidden="1"/>
    </xf>
    <xf numFmtId="0" fontId="15" fillId="7" borderId="80" xfId="0" applyFont="1" applyFill="1" applyBorder="1" applyAlignment="1" applyProtection="1">
      <alignment horizontal="center" vertical="center"/>
      <protection hidden="1"/>
    </xf>
    <xf numFmtId="0" fontId="15" fillId="7" borderId="81" xfId="0" applyFont="1" applyFill="1" applyBorder="1" applyAlignment="1" applyProtection="1">
      <alignment horizontal="center" vertical="center"/>
      <protection hidden="1"/>
    </xf>
    <xf numFmtId="0" fontId="15" fillId="7" borderId="79" xfId="0" applyFont="1" applyFill="1" applyBorder="1" applyAlignment="1" applyProtection="1">
      <alignment horizontal="center" vertical="center"/>
      <protection hidden="1"/>
    </xf>
    <xf numFmtId="0" fontId="15" fillId="7" borderId="82" xfId="0" applyFont="1" applyFill="1" applyBorder="1" applyAlignment="1" applyProtection="1">
      <alignment horizontal="center" vertical="center"/>
      <protection hidden="1"/>
    </xf>
    <xf numFmtId="0" fontId="1" fillId="8" borderId="37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right" vertical="center" shrinkToFit="1"/>
      <protection hidden="1"/>
    </xf>
    <xf numFmtId="0" fontId="14" fillId="7" borderId="65" xfId="0" applyFont="1" applyFill="1" applyBorder="1" applyAlignment="1" applyProtection="1">
      <alignment horizontal="center" vertical="center"/>
      <protection hidden="1"/>
    </xf>
    <xf numFmtId="0" fontId="14" fillId="7" borderId="66" xfId="0" applyFont="1" applyFill="1" applyBorder="1" applyAlignment="1" applyProtection="1">
      <alignment horizontal="center" vertical="center"/>
      <protection hidden="1"/>
    </xf>
    <xf numFmtId="0" fontId="14" fillId="7" borderId="67" xfId="0" applyFont="1" applyFill="1" applyBorder="1" applyAlignment="1" applyProtection="1">
      <alignment horizontal="center" vertical="center"/>
      <protection hidden="1"/>
    </xf>
    <xf numFmtId="0" fontId="14" fillId="7" borderId="68" xfId="0" applyFont="1" applyFill="1" applyBorder="1" applyAlignment="1" applyProtection="1">
      <alignment horizontal="center" vertical="center"/>
      <protection hidden="1"/>
    </xf>
    <xf numFmtId="0" fontId="14" fillId="7" borderId="69" xfId="0" applyFont="1" applyFill="1" applyBorder="1" applyAlignment="1" applyProtection="1">
      <alignment horizontal="center" vertical="center"/>
      <protection hidden="1"/>
    </xf>
    <xf numFmtId="0" fontId="14" fillId="7" borderId="70" xfId="0" applyFont="1" applyFill="1" applyBorder="1" applyAlignment="1" applyProtection="1">
      <alignment horizontal="center" vertical="center"/>
      <protection hidden="1"/>
    </xf>
    <xf numFmtId="0" fontId="14" fillId="7" borderId="71" xfId="1" applyFont="1" applyFill="1" applyBorder="1" applyAlignment="1" applyProtection="1">
      <alignment horizontal="center" vertical="center"/>
      <protection hidden="1"/>
    </xf>
    <xf numFmtId="0" fontId="14" fillId="7" borderId="72" xfId="1" applyFont="1" applyFill="1" applyBorder="1" applyAlignment="1" applyProtection="1">
      <alignment horizontal="center" vertical="center"/>
      <protection hidden="1"/>
    </xf>
    <xf numFmtId="0" fontId="14" fillId="7" borderId="73" xfId="1" applyFont="1" applyFill="1" applyBorder="1" applyAlignment="1" applyProtection="1">
      <alignment horizontal="center" vertical="center"/>
      <protection hidden="1"/>
    </xf>
    <xf numFmtId="0" fontId="14" fillId="7" borderId="74" xfId="1" applyFont="1" applyFill="1" applyBorder="1" applyAlignment="1" applyProtection="1">
      <alignment horizontal="center" vertical="center"/>
      <protection hidden="1"/>
    </xf>
    <xf numFmtId="0" fontId="14" fillId="7" borderId="75" xfId="1" applyFont="1" applyFill="1" applyBorder="1" applyAlignment="1" applyProtection="1">
      <alignment horizontal="center" vertical="center"/>
      <protection hidden="1"/>
    </xf>
    <xf numFmtId="0" fontId="14" fillId="7" borderId="76" xfId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51" xfId="1" applyFont="1" applyFill="1" applyBorder="1" applyAlignment="1" applyProtection="1">
      <alignment horizontal="center" vertical="center"/>
      <protection hidden="1"/>
    </xf>
    <xf numFmtId="0" fontId="14" fillId="7" borderId="52" xfId="1" applyFont="1" applyFill="1" applyBorder="1" applyAlignment="1" applyProtection="1">
      <alignment horizontal="center" vertical="center"/>
      <protection hidden="1"/>
    </xf>
    <xf numFmtId="0" fontId="14" fillId="7" borderId="53" xfId="1" applyFont="1" applyFill="1" applyBorder="1" applyAlignment="1" applyProtection="1">
      <alignment horizontal="center" vertical="center"/>
      <protection hidden="1"/>
    </xf>
    <xf numFmtId="0" fontId="14" fillId="7" borderId="54" xfId="1" applyFont="1" applyFill="1" applyBorder="1" applyAlignment="1" applyProtection="1">
      <alignment horizontal="center" vertical="center"/>
      <protection hidden="1"/>
    </xf>
    <xf numFmtId="0" fontId="14" fillId="7" borderId="55" xfId="1" applyFont="1" applyFill="1" applyBorder="1" applyAlignment="1" applyProtection="1">
      <alignment horizontal="center" vertical="center"/>
      <protection hidden="1"/>
    </xf>
    <xf numFmtId="0" fontId="14" fillId="7" borderId="56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51" xfId="0" applyFont="1" applyFill="1" applyBorder="1" applyAlignment="1" applyProtection="1">
      <alignment horizontal="center" vertical="center"/>
      <protection hidden="1"/>
    </xf>
    <xf numFmtId="0" fontId="13" fillId="5" borderId="52" xfId="0" applyFont="1" applyFill="1" applyBorder="1" applyAlignment="1" applyProtection="1">
      <alignment horizontal="center" vertical="center"/>
      <protection hidden="1"/>
    </xf>
    <xf numFmtId="0" fontId="13" fillId="5" borderId="53" xfId="0" applyFont="1" applyFill="1" applyBorder="1" applyAlignment="1" applyProtection="1">
      <alignment horizontal="center" vertical="center"/>
      <protection hidden="1"/>
    </xf>
    <xf numFmtId="0" fontId="13" fillId="5" borderId="54" xfId="0" applyFont="1" applyFill="1" applyBorder="1" applyAlignment="1" applyProtection="1">
      <alignment horizontal="center" vertical="center"/>
      <protection hidden="1"/>
    </xf>
    <xf numFmtId="0" fontId="13" fillId="5" borderId="55" xfId="0" applyFont="1" applyFill="1" applyBorder="1" applyAlignment="1" applyProtection="1">
      <alignment horizontal="center" vertical="center"/>
      <protection hidden="1"/>
    </xf>
    <xf numFmtId="0" fontId="13" fillId="5" borderId="56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 wrapText="1"/>
      <protection hidden="1"/>
    </xf>
    <xf numFmtId="0" fontId="14" fillId="7" borderId="63" xfId="0" applyFont="1" applyFill="1" applyBorder="1" applyAlignment="1" applyProtection="1">
      <alignment horizontal="center" vertical="center"/>
      <protection hidden="1"/>
    </xf>
    <xf numFmtId="0" fontId="14" fillId="7" borderId="64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/>
      <protection hidden="1"/>
    </xf>
  </cellXfs>
  <cellStyles count="2">
    <cellStyle name="Hyperlink" xfId="1" builtinId="8"/>
    <cellStyle name="Normal" xfId="0" builtinId="0"/>
  </cellStyles>
  <dxfs count="1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e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51</xdr:col>
      <xdr:colOff>0</xdr:colOff>
      <xdr:row>39</xdr:row>
      <xdr:rowOff>76200</xdr:rowOff>
    </xdr:from>
    <xdr:to>
      <xdr:col>58</xdr:col>
      <xdr:colOff>796805</xdr:colOff>
      <xdr:row>57</xdr:row>
      <xdr:rowOff>133350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953750" y="6962775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64</xdr:col>
      <xdr:colOff>666750</xdr:colOff>
      <xdr:row>44</xdr:row>
      <xdr:rowOff>582</xdr:rowOff>
    </xdr:from>
    <xdr:to>
      <xdr:col>73</xdr:col>
      <xdr:colOff>209549</xdr:colOff>
      <xdr:row>51</xdr:row>
      <xdr:rowOff>66674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7021175" y="77063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Q115"/>
  <sheetViews>
    <sheetView workbookViewId="0">
      <pane ySplit="1" topLeftCell="A2" activePane="bottomLeft" state="frozen"/>
      <selection pane="bottomLeft" activeCell="A38" sqref="A38:A68"/>
    </sheetView>
  </sheetViews>
  <sheetFormatPr defaultRowHeight="12.75"/>
  <sheetData>
    <row r="1" spans="1:43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B2:P47"/>
  <sheetViews>
    <sheetView showGridLines="0" workbookViewId="0">
      <selection activeCell="C8" sqref="C8"/>
    </sheetView>
  </sheetViews>
  <sheetFormatPr defaultRowHeight="12.75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>
      <c r="B2" s="9" t="s">
        <v>906</v>
      </c>
      <c r="C2" s="10"/>
      <c r="D2" s="11"/>
      <c r="F2" s="9" t="s">
        <v>569</v>
      </c>
      <c r="G2" s="10"/>
      <c r="H2" s="11"/>
    </row>
    <row r="3" spans="2:8">
      <c r="B3" s="12"/>
      <c r="C3" s="13"/>
      <c r="D3" s="14"/>
      <c r="F3" s="12"/>
      <c r="G3" s="13"/>
      <c r="H3" s="14"/>
    </row>
    <row r="4" spans="2:8">
      <c r="B4" s="15" t="s">
        <v>847</v>
      </c>
      <c r="C4" s="72" t="s">
        <v>813</v>
      </c>
      <c r="D4" s="14"/>
      <c r="F4" s="12"/>
      <c r="G4" s="54"/>
      <c r="H4" s="14"/>
    </row>
    <row r="5" spans="2:8">
      <c r="B5" s="12"/>
      <c r="C5" s="13"/>
      <c r="D5" s="14"/>
      <c r="F5" s="45" t="s">
        <v>991</v>
      </c>
      <c r="G5" s="46" t="s">
        <v>989</v>
      </c>
      <c r="H5" s="14"/>
    </row>
    <row r="6" spans="2:8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>
      <c r="B7" s="12"/>
      <c r="C7" s="13"/>
      <c r="D7" s="14"/>
      <c r="F7" s="45" t="s">
        <v>993</v>
      </c>
      <c r="G7" s="47" t="s">
        <v>571</v>
      </c>
      <c r="H7" s="14"/>
    </row>
    <row r="8" spans="2:8">
      <c r="B8" s="15" t="s">
        <v>877</v>
      </c>
      <c r="C8" s="56" t="s">
        <v>884</v>
      </c>
      <c r="D8" s="14"/>
      <c r="F8" s="45" t="s">
        <v>994</v>
      </c>
      <c r="G8" s="47" t="s">
        <v>572</v>
      </c>
      <c r="H8" s="14"/>
    </row>
    <row r="9" spans="2:8">
      <c r="B9" s="12"/>
      <c r="C9" s="13"/>
      <c r="D9" s="14"/>
      <c r="F9" s="45" t="s">
        <v>995</v>
      </c>
      <c r="G9" s="48" t="s">
        <v>988</v>
      </c>
      <c r="H9" s="14"/>
    </row>
    <row r="10" spans="2:8">
      <c r="B10" s="15" t="s">
        <v>879</v>
      </c>
      <c r="C10" s="16" t="s">
        <v>880</v>
      </c>
      <c r="D10" s="14"/>
      <c r="F10" s="12"/>
      <c r="G10" s="44"/>
      <c r="H10" s="14"/>
    </row>
    <row r="11" spans="2:8">
      <c r="B11" s="17"/>
      <c r="C11" s="18"/>
      <c r="D11" s="19"/>
      <c r="F11" s="17"/>
      <c r="G11" s="18"/>
      <c r="H11" s="19"/>
    </row>
    <row r="12" spans="2:8">
      <c r="B12" s="20"/>
      <c r="C12" s="20"/>
      <c r="D12" s="20"/>
      <c r="E12" s="20"/>
    </row>
    <row r="13" spans="2:8">
      <c r="B13" s="35"/>
      <c r="C13" s="36"/>
      <c r="D13" s="37"/>
      <c r="F13" s="50" t="s">
        <v>907</v>
      </c>
      <c r="G13" s="50">
        <f>IF(ISERROR(MATCH(C4,lang_list,0)),1,MATCH(C4,lang_list,0))</f>
        <v>1</v>
      </c>
      <c r="H13" s="51"/>
    </row>
    <row r="14" spans="2:8" ht="16.5" thickBot="1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0.16666666666666666</v>
      </c>
      <c r="H14" s="51"/>
    </row>
    <row r="15" spans="2:8">
      <c r="B15" s="38" t="str">
        <f>INDEX(T,66,lang)</f>
        <v>Spain</v>
      </c>
      <c r="C15" s="40">
        <v>1460</v>
      </c>
      <c r="D15" s="14"/>
      <c r="F15" s="50"/>
      <c r="G15" s="50"/>
      <c r="H15" s="51"/>
    </row>
    <row r="16" spans="2:8">
      <c r="B16" s="38" t="str">
        <f>INDEX(T,50,lang)</f>
        <v>Germany</v>
      </c>
      <c r="C16" s="41">
        <v>1340</v>
      </c>
      <c r="D16" s="14"/>
      <c r="F16" s="50" t="s">
        <v>881</v>
      </c>
      <c r="G16" s="50">
        <v>0</v>
      </c>
      <c r="H16" s="51"/>
    </row>
    <row r="17" spans="2:8">
      <c r="B17" s="38" t="str">
        <f>INDEX(T,65,lang)</f>
        <v>Portugal</v>
      </c>
      <c r="C17" s="41">
        <v>1245</v>
      </c>
      <c r="D17" s="14"/>
      <c r="F17" s="50" t="s">
        <v>882</v>
      </c>
      <c r="G17" s="50">
        <v>1</v>
      </c>
      <c r="H17" s="51"/>
    </row>
    <row r="18" spans="2:8">
      <c r="B18" s="38" t="str">
        <f>INDEX(T,62,lang)</f>
        <v>Brazil</v>
      </c>
      <c r="C18" s="41">
        <v>1210</v>
      </c>
      <c r="D18" s="14"/>
      <c r="F18" s="50" t="s">
        <v>883</v>
      </c>
      <c r="G18" s="50">
        <v>2</v>
      </c>
      <c r="H18" s="51"/>
    </row>
    <row r="19" spans="2:8">
      <c r="B19" s="38" t="str">
        <f>INDEX(T,52,lang)</f>
        <v>Colombia</v>
      </c>
      <c r="C19" s="41">
        <v>1186</v>
      </c>
      <c r="D19" s="14"/>
      <c r="F19" s="50" t="s">
        <v>884</v>
      </c>
      <c r="G19" s="50">
        <v>3</v>
      </c>
      <c r="H19" s="51"/>
    </row>
    <row r="20" spans="2:8">
      <c r="B20" s="38" t="str">
        <f>INDEX(T,40,lang)</f>
        <v>Uruguay</v>
      </c>
      <c r="C20" s="41">
        <v>1181</v>
      </c>
      <c r="D20" s="14"/>
      <c r="F20" s="50" t="s">
        <v>885</v>
      </c>
      <c r="G20" s="50">
        <v>4</v>
      </c>
      <c r="H20" s="51"/>
    </row>
    <row r="21" spans="2:8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>
      <c r="B22" s="38" t="str">
        <f>INDEX(T,67,lang)</f>
        <v>Switzerland</v>
      </c>
      <c r="C22" s="41">
        <v>1161</v>
      </c>
      <c r="D22" s="14"/>
      <c r="F22" s="50" t="s">
        <v>887</v>
      </c>
      <c r="G22" s="50">
        <v>6</v>
      </c>
      <c r="H22" s="51"/>
    </row>
    <row r="23" spans="2:8">
      <c r="B23" s="38" t="str">
        <f>INDEX(T,58,lang)</f>
        <v>Italy</v>
      </c>
      <c r="C23" s="41">
        <v>1115</v>
      </c>
      <c r="D23" s="14"/>
      <c r="F23" s="50" t="s">
        <v>888</v>
      </c>
      <c r="G23" s="50">
        <v>7</v>
      </c>
      <c r="H23" s="51"/>
    </row>
    <row r="24" spans="2:8">
      <c r="B24" s="38" t="str">
        <f>INDEX(T,45,lang)</f>
        <v>Greece</v>
      </c>
      <c r="C24" s="41">
        <v>1082</v>
      </c>
      <c r="D24" s="14"/>
      <c r="F24" s="50" t="s">
        <v>889</v>
      </c>
      <c r="G24" s="50">
        <v>8</v>
      </c>
      <c r="H24" s="51"/>
    </row>
    <row r="25" spans="2:8">
      <c r="B25" s="38" t="str">
        <f>INDEX(T,46,lang)</f>
        <v>England</v>
      </c>
      <c r="C25" s="41">
        <v>1043</v>
      </c>
      <c r="D25" s="14"/>
      <c r="F25" s="50" t="s">
        <v>890</v>
      </c>
      <c r="G25" s="50">
        <v>9</v>
      </c>
      <c r="H25" s="51"/>
    </row>
    <row r="26" spans="2:8">
      <c r="B26" s="38" t="str">
        <f>INDEX(T,63,lang)</f>
        <v>Belgium</v>
      </c>
      <c r="C26" s="41">
        <v>1039</v>
      </c>
      <c r="D26" s="14"/>
      <c r="F26" s="50" t="s">
        <v>891</v>
      </c>
      <c r="G26" s="50">
        <v>10</v>
      </c>
      <c r="H26" s="51"/>
    </row>
    <row r="27" spans="2:8">
      <c r="B27" s="38" t="str">
        <f>INDEX(T,69,lang)</f>
        <v>Chile</v>
      </c>
      <c r="C27" s="41">
        <v>1037</v>
      </c>
      <c r="D27" s="14"/>
      <c r="F27" s="50" t="s">
        <v>846</v>
      </c>
      <c r="G27" s="50">
        <v>11</v>
      </c>
      <c r="H27" s="51"/>
    </row>
    <row r="28" spans="2:8">
      <c r="B28" s="38" t="str">
        <f>INDEX(T,47,lang)</f>
        <v>USA</v>
      </c>
      <c r="C28" s="41">
        <v>1015</v>
      </c>
      <c r="D28" s="14"/>
      <c r="F28" s="50" t="s">
        <v>878</v>
      </c>
      <c r="G28" s="50">
        <v>12</v>
      </c>
      <c r="H28" s="51"/>
    </row>
    <row r="29" spans="2:8">
      <c r="B29" s="38" t="str">
        <f>INDEX(T,54,lang)</f>
        <v>Netherlands</v>
      </c>
      <c r="C29" s="41">
        <v>967</v>
      </c>
      <c r="D29" s="14"/>
      <c r="F29" s="50" t="s">
        <v>892</v>
      </c>
      <c r="G29" s="50">
        <v>13</v>
      </c>
      <c r="H29" s="51"/>
    </row>
    <row r="30" spans="2:8">
      <c r="B30" s="38" t="str">
        <f>INDEX(T,41,lang)</f>
        <v>France</v>
      </c>
      <c r="C30" s="41">
        <v>935</v>
      </c>
      <c r="D30" s="14"/>
      <c r="F30" s="50" t="s">
        <v>893</v>
      </c>
      <c r="G30" s="50">
        <v>14</v>
      </c>
      <c r="H30" s="51"/>
    </row>
    <row r="31" spans="2:8">
      <c r="B31" s="38" t="str">
        <f>INDEX(T,49,lang)</f>
        <v>Russia</v>
      </c>
      <c r="C31" s="41">
        <v>903</v>
      </c>
      <c r="D31" s="14"/>
      <c r="F31" s="50" t="s">
        <v>894</v>
      </c>
      <c r="G31" s="50">
        <v>15</v>
      </c>
      <c r="H31" s="51"/>
    </row>
    <row r="32" spans="2:8">
      <c r="B32" s="38" t="str">
        <f>INDEX(T,39,lang)</f>
        <v>Mexico</v>
      </c>
      <c r="C32" s="41">
        <v>877</v>
      </c>
      <c r="D32" s="14"/>
      <c r="F32" s="50" t="s">
        <v>895</v>
      </c>
      <c r="G32" s="50">
        <v>16</v>
      </c>
      <c r="H32" s="51"/>
    </row>
    <row r="33" spans="2:8">
      <c r="B33" s="38" t="str">
        <f>INDEX(T,38,lang)</f>
        <v>Croatia</v>
      </c>
      <c r="C33" s="41">
        <v>871</v>
      </c>
      <c r="D33" s="14"/>
      <c r="F33" s="50" t="s">
        <v>896</v>
      </c>
      <c r="G33" s="50">
        <v>17</v>
      </c>
      <c r="H33" s="51"/>
    </row>
    <row r="34" spans="2:8">
      <c r="B34" s="38" t="str">
        <f>INDEX(T,64,lang)</f>
        <v>Côte d'Ivoire</v>
      </c>
      <c r="C34" s="41">
        <v>830</v>
      </c>
      <c r="D34" s="14"/>
      <c r="F34" s="50" t="s">
        <v>897</v>
      </c>
      <c r="G34" s="50">
        <v>18</v>
      </c>
      <c r="H34" s="51"/>
    </row>
    <row r="35" spans="2:8">
      <c r="B35" s="38" t="str">
        <f>INDEX(T,60,lang)</f>
        <v>Bosnia-Herzegovina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>
      <c r="B36" s="38" t="str">
        <f>INDEX(T,48,lang)</f>
        <v>Algeria</v>
      </c>
      <c r="C36" s="41">
        <v>795</v>
      </c>
      <c r="D36" s="14"/>
      <c r="F36" s="50" t="s">
        <v>899</v>
      </c>
      <c r="G36" s="50">
        <v>20</v>
      </c>
      <c r="H36" s="51"/>
    </row>
    <row r="37" spans="2:8">
      <c r="B37" s="38" t="str">
        <f>INDEX(T,59,lang)</f>
        <v>Ecuador</v>
      </c>
      <c r="C37" s="41">
        <v>794</v>
      </c>
      <c r="D37" s="14"/>
      <c r="F37" s="50" t="s">
        <v>900</v>
      </c>
      <c r="G37" s="50">
        <v>21</v>
      </c>
      <c r="H37" s="51"/>
    </row>
    <row r="38" spans="2:8">
      <c r="B38" s="38" t="str">
        <f>INDEX(T,68,lang)</f>
        <v>Honduras</v>
      </c>
      <c r="C38" s="41">
        <v>759</v>
      </c>
      <c r="D38" s="14"/>
      <c r="F38" s="50" t="s">
        <v>901</v>
      </c>
      <c r="G38" s="50">
        <v>22</v>
      </c>
      <c r="H38" s="51"/>
    </row>
    <row r="39" spans="2:8">
      <c r="B39" s="38" t="str">
        <f>INDEX(T,55,lang)</f>
        <v>Costa Rica</v>
      </c>
      <c r="C39" s="41">
        <v>748</v>
      </c>
      <c r="D39" s="14"/>
      <c r="F39" s="50" t="s">
        <v>902</v>
      </c>
      <c r="G39" s="50">
        <v>23</v>
      </c>
      <c r="H39" s="51"/>
    </row>
    <row r="40" spans="2:8">
      <c r="B40" s="38" t="str">
        <f>INDEX(T,61,lang)</f>
        <v>Iran</v>
      </c>
      <c r="C40" s="41">
        <v>715</v>
      </c>
      <c r="D40" s="14"/>
      <c r="F40" s="50"/>
      <c r="G40" s="50"/>
      <c r="H40" s="51"/>
    </row>
    <row r="41" spans="2:8">
      <c r="B41" s="38" t="str">
        <f>INDEX(T,53,lang)</f>
        <v>Ghana</v>
      </c>
      <c r="C41" s="41">
        <v>713</v>
      </c>
      <c r="D41" s="14"/>
      <c r="F41" s="53" t="s">
        <v>880</v>
      </c>
      <c r="G41" s="50">
        <v>0</v>
      </c>
      <c r="H41" s="51"/>
    </row>
    <row r="42" spans="2:8">
      <c r="B42" s="38" t="str">
        <f>INDEX(T,51,lang)</f>
        <v>Australia</v>
      </c>
      <c r="C42" s="41">
        <v>673</v>
      </c>
      <c r="D42" s="14"/>
      <c r="F42" s="53" t="s">
        <v>903</v>
      </c>
      <c r="G42" s="50">
        <v>15</v>
      </c>
      <c r="H42" s="51"/>
    </row>
    <row r="43" spans="2:8">
      <c r="B43" s="38" t="str">
        <f>INDEX(T,43,lang)</f>
        <v>Nigeria</v>
      </c>
      <c r="C43" s="41">
        <v>631</v>
      </c>
      <c r="D43" s="14"/>
      <c r="F43" s="53" t="s">
        <v>904</v>
      </c>
      <c r="G43" s="50">
        <v>30</v>
      </c>
      <c r="H43" s="51"/>
    </row>
    <row r="44" spans="2:8">
      <c r="B44" s="38" t="str">
        <f>INDEX(T,56,lang)</f>
        <v>Japan</v>
      </c>
      <c r="C44" s="41">
        <v>613</v>
      </c>
      <c r="D44" s="14"/>
      <c r="F44" s="53" t="s">
        <v>905</v>
      </c>
      <c r="G44" s="50">
        <v>45</v>
      </c>
      <c r="H44" s="51"/>
    </row>
    <row r="45" spans="2:8">
      <c r="B45" s="38" t="str">
        <f>INDEX(T,57,lang)</f>
        <v>Cameroon</v>
      </c>
      <c r="C45" s="41">
        <v>583</v>
      </c>
      <c r="D45" s="14"/>
      <c r="F45" s="53"/>
      <c r="G45" s="50"/>
      <c r="H45" s="51"/>
    </row>
    <row r="46" spans="2:8">
      <c r="B46" s="38" t="str">
        <f>INDEX(T,44,lang)</f>
        <v>Korea Republic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B050"/>
    <pageSetUpPr fitToPage="1"/>
  </sheetPr>
  <dimension ref="A1:BU97"/>
  <sheetViews>
    <sheetView showGridLines="0" tabSelected="1" topLeftCell="F13" zoomScaleNormal="100" workbookViewId="0">
      <selection activeCell="BT24" sqref="BT24"/>
    </sheetView>
  </sheetViews>
  <sheetFormatPr defaultRowHeight="12.75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5" hidden="1" customWidth="1"/>
    <col min="22" max="23" width="16" style="71" hidden="1" customWidth="1"/>
    <col min="24" max="24" width="5" style="66" hidden="1" customWidth="1"/>
    <col min="25" max="26" width="6.140625" style="65" hidden="1" customWidth="1"/>
    <col min="27" max="27" width="4.28515625" style="66" hidden="1" customWidth="1"/>
    <col min="28" max="28" width="5.42578125" style="65" hidden="1" customWidth="1"/>
    <col min="29" max="29" width="13.42578125" style="66" hidden="1" customWidth="1"/>
    <col min="30" max="34" width="5.42578125" style="65" hidden="1" customWidth="1"/>
    <col min="35" max="37" width="6" style="65" hidden="1" customWidth="1"/>
    <col min="38" max="38" width="5.42578125" style="65" hidden="1" customWidth="1"/>
    <col min="39" max="39" width="6" style="65" hidden="1" customWidth="1"/>
    <col min="40" max="40" width="7.140625" style="66" hidden="1" customWidth="1"/>
    <col min="41" max="41" width="10" style="66" hidden="1" customWidth="1"/>
    <col min="42" max="42" width="15.28515625" style="67" hidden="1" customWidth="1"/>
    <col min="43" max="43" width="4.7109375" style="68" hidden="1" customWidth="1"/>
    <col min="44" max="47" width="4.7109375" style="69" hidden="1" customWidth="1"/>
    <col min="48" max="50" width="9.140625" style="70" hidden="1" customWidth="1"/>
    <col min="51" max="51" width="0" style="84" hidden="1" customWidth="1"/>
    <col min="52" max="52" width="3.28515625" style="2" customWidth="1"/>
    <col min="53" max="53" width="19.7109375" style="2" customWidth="1"/>
    <col min="54" max="55" width="3" style="2" customWidth="1"/>
    <col min="56" max="57" width="2" style="2" customWidth="1"/>
    <col min="58" max="58" width="3.28515625" style="2" customWidth="1"/>
    <col min="59" max="59" width="19.7109375" style="2" customWidth="1"/>
    <col min="60" max="61" width="3" style="2" customWidth="1"/>
    <col min="62" max="63" width="2" style="2" customWidth="1"/>
    <col min="64" max="64" width="3.28515625" style="2" customWidth="1"/>
    <col min="65" max="65" width="19.7109375" style="2" customWidth="1"/>
    <col min="66" max="67" width="3" style="2" customWidth="1"/>
    <col min="68" max="69" width="2" style="2" customWidth="1"/>
    <col min="70" max="70" width="3.28515625" style="2" customWidth="1"/>
    <col min="71" max="71" width="19.7109375" style="2" customWidth="1"/>
    <col min="72" max="73" width="3" style="2" customWidth="1"/>
    <col min="74" max="16384" width="9.140625" style="2"/>
  </cols>
  <sheetData>
    <row r="1" spans="1:73" ht="46.5">
      <c r="A1" s="158" t="str">
        <f>INDEX(T,2,lang)</f>
        <v>2014 World Cup Final Tournament Schedule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V1" s="65"/>
      <c r="W1" s="65"/>
      <c r="X1" s="65"/>
      <c r="AA1" s="65"/>
      <c r="AC1" s="65"/>
      <c r="AE1" s="66"/>
      <c r="AF1" s="66"/>
      <c r="AG1" s="67"/>
      <c r="AH1" s="68"/>
      <c r="AI1" s="69"/>
      <c r="AJ1" s="69"/>
      <c r="AK1" s="69"/>
      <c r="AL1" s="69"/>
      <c r="AM1" s="70"/>
      <c r="AN1" s="70"/>
      <c r="AO1" s="70"/>
      <c r="AP1" s="70"/>
      <c r="AQ1" s="70"/>
      <c r="AR1" s="70"/>
      <c r="AS1" s="70"/>
      <c r="AT1" s="70"/>
      <c r="AU1" s="70"/>
    </row>
    <row r="2" spans="1:73" ht="6.75" customHeight="1">
      <c r="V2" s="65"/>
      <c r="W2" s="65"/>
      <c r="X2" s="65"/>
      <c r="AA2" s="65"/>
      <c r="AC2" s="65"/>
      <c r="AE2" s="66"/>
      <c r="AF2" s="66"/>
      <c r="AG2" s="67"/>
      <c r="AH2" s="68"/>
      <c r="AI2" s="69"/>
      <c r="AJ2" s="69"/>
      <c r="AK2" s="69"/>
      <c r="AL2" s="69"/>
      <c r="AM2" s="70"/>
      <c r="AN2" s="70"/>
      <c r="AO2" s="70"/>
      <c r="AP2" s="70"/>
      <c r="AQ2" s="70"/>
      <c r="AR2" s="70"/>
      <c r="AS2" s="70"/>
      <c r="AT2" s="70"/>
      <c r="AU2" s="70"/>
    </row>
    <row r="3" spans="1:73" ht="36" customHeight="1">
      <c r="A3" s="82"/>
      <c r="B3" s="82"/>
      <c r="C3" s="172" t="s">
        <v>2708</v>
      </c>
      <c r="D3" s="173"/>
      <c r="E3" s="173"/>
      <c r="F3" s="174"/>
      <c r="G3" s="82"/>
      <c r="H3" s="175" t="s">
        <v>2709</v>
      </c>
      <c r="I3" s="173"/>
      <c r="J3" s="173"/>
      <c r="K3" s="174"/>
      <c r="L3" s="82"/>
      <c r="M3" s="82"/>
      <c r="N3" s="82"/>
      <c r="O3" s="82"/>
      <c r="P3" s="82"/>
      <c r="R3" s="165" t="str">
        <f>"Language: " &amp; Settings!C4</f>
        <v>Language: English</v>
      </c>
      <c r="S3" s="165"/>
      <c r="V3" s="65"/>
      <c r="W3" s="65"/>
      <c r="X3" s="65"/>
      <c r="AA3" s="65"/>
      <c r="AC3" s="65"/>
      <c r="AE3" s="66"/>
      <c r="AF3" s="66"/>
      <c r="AG3" s="67"/>
      <c r="AH3" s="68"/>
      <c r="AI3" s="69"/>
      <c r="AJ3" s="69"/>
      <c r="AK3" s="69"/>
      <c r="AL3" s="69"/>
      <c r="AM3" s="70"/>
      <c r="AN3" s="70"/>
      <c r="AO3" s="70"/>
      <c r="AP3" s="70"/>
      <c r="AQ3" s="70"/>
      <c r="AR3" s="70"/>
      <c r="AS3" s="70"/>
      <c r="AT3" s="70"/>
      <c r="AU3" s="70"/>
    </row>
    <row r="4" spans="1:73" ht="6.75" customHeight="1"/>
    <row r="5" spans="1:73" ht="12.75" customHeight="1">
      <c r="A5" s="166" t="str">
        <f>INDEX(T,3,lang)</f>
        <v>Group Stage</v>
      </c>
      <c r="B5" s="167"/>
      <c r="C5" s="167"/>
      <c r="D5" s="167"/>
      <c r="E5" s="167"/>
      <c r="F5" s="167"/>
      <c r="G5" s="167"/>
      <c r="H5" s="167"/>
      <c r="I5" s="167"/>
      <c r="J5" s="167"/>
      <c r="K5" s="168"/>
      <c r="M5" s="159" t="s">
        <v>1090</v>
      </c>
      <c r="N5" s="160"/>
      <c r="O5" s="160"/>
      <c r="P5" s="160"/>
      <c r="Q5" s="160"/>
      <c r="R5" s="160"/>
      <c r="S5" s="161"/>
    </row>
    <row r="6" spans="1:73" ht="12.75" customHeight="1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71"/>
      <c r="M6" s="162"/>
      <c r="N6" s="163"/>
      <c r="O6" s="163"/>
      <c r="P6" s="163"/>
      <c r="Q6" s="163"/>
      <c r="R6" s="163"/>
      <c r="S6" s="164"/>
      <c r="U6" s="65" t="s">
        <v>838</v>
      </c>
      <c r="Y6" s="65" t="s">
        <v>807</v>
      </c>
      <c r="Z6" s="65" t="s">
        <v>808</v>
      </c>
      <c r="AB6" s="65" t="s">
        <v>806</v>
      </c>
      <c r="AC6" s="65" t="s">
        <v>805</v>
      </c>
      <c r="AD6" s="65" t="s">
        <v>800</v>
      </c>
      <c r="AE6" s="65" t="s">
        <v>801</v>
      </c>
      <c r="AF6" s="65" t="s">
        <v>802</v>
      </c>
      <c r="AG6" s="65" t="s">
        <v>807</v>
      </c>
      <c r="AH6" s="65" t="s">
        <v>808</v>
      </c>
      <c r="AI6" s="65" t="s">
        <v>977</v>
      </c>
      <c r="AJ6" s="65" t="s">
        <v>977</v>
      </c>
      <c r="AL6" s="65" t="s">
        <v>803</v>
      </c>
      <c r="AM6" s="65" t="s">
        <v>976</v>
      </c>
      <c r="AN6" s="65" t="s">
        <v>568</v>
      </c>
      <c r="AO6" s="65" t="s">
        <v>804</v>
      </c>
      <c r="AQ6" s="68" t="s">
        <v>800</v>
      </c>
      <c r="AR6" s="69" t="s">
        <v>801</v>
      </c>
      <c r="AS6" s="69" t="s">
        <v>807</v>
      </c>
      <c r="AT6" s="69" t="s">
        <v>808</v>
      </c>
      <c r="AU6" s="69" t="s">
        <v>567</v>
      </c>
      <c r="AZ6" s="119" t="str">
        <f>INDEX(T,4,lang)</f>
        <v>Round of 16</v>
      </c>
      <c r="BA6" s="120"/>
      <c r="BB6" s="120"/>
      <c r="BC6" s="121"/>
      <c r="BF6" s="119" t="str">
        <f>INDEX(T,5,lang)</f>
        <v>Quarterfinals</v>
      </c>
      <c r="BG6" s="120"/>
      <c r="BH6" s="120"/>
      <c r="BI6" s="121"/>
      <c r="BL6" s="119" t="str">
        <f>INDEX(T,6,lang)</f>
        <v>Semi-Finals</v>
      </c>
      <c r="BM6" s="120"/>
      <c r="BN6" s="120"/>
      <c r="BO6" s="121"/>
      <c r="BR6" s="119" t="str">
        <f>INDEX(T,8,lang)</f>
        <v>Final</v>
      </c>
      <c r="BS6" s="120"/>
      <c r="BT6" s="120"/>
      <c r="BU6" s="121"/>
    </row>
    <row r="7" spans="1:73" ht="12.75" customHeight="1">
      <c r="A7" s="85">
        <v>1</v>
      </c>
      <c r="B7" s="86" t="str">
        <f t="shared" ref="B7:B54" si="0">INDEX(T,18+INT(MOD(U7-1,7)),lang)</f>
        <v>Thu</v>
      </c>
      <c r="C7" s="87" t="str">
        <f t="shared" ref="C7:C54" si="1">INDEX(T,24+MONTH(U7),lang) &amp; " " &amp; DAY(U7) &amp; ", " &amp; YEAR(U7)</f>
        <v>Jun 12, 2014</v>
      </c>
      <c r="D7" s="88">
        <f>TIME(HOUR(U7),MINUTE(U7),0)</f>
        <v>0.54166666666666663</v>
      </c>
      <c r="E7" s="89" t="str">
        <f>AC8</f>
        <v>Brazil</v>
      </c>
      <c r="F7" s="115">
        <v>3</v>
      </c>
      <c r="G7" s="116">
        <v>1</v>
      </c>
      <c r="H7" s="100" t="str">
        <f>AC9</f>
        <v>Croatia</v>
      </c>
      <c r="I7" s="127" t="str">
        <f>INDEX(T,114,lang)</f>
        <v>Sao Paulo</v>
      </c>
      <c r="J7" s="128"/>
      <c r="K7" s="129"/>
      <c r="U7" s="65">
        <f>DATE(2014,6,12)+TIME(9,0,0)+gmt_delta</f>
        <v>41802.541666666664</v>
      </c>
      <c r="V7" s="71" t="str">
        <f>IF(OR(F7="",G7=""),"",IF(F7&gt;G7,E7&amp;"_win",IF(F7&lt;G7,E7&amp;"_lose",E7&amp;"_draw")))</f>
        <v>Brazil_win</v>
      </c>
      <c r="W7" s="71" t="str">
        <f t="shared" ref="W7:W54" si="2">IF(V7="","",IF(F7&lt;G7,H7&amp;"_win",IF(F7&gt;G7,H7&amp;"_lose",H7&amp;"_draw")))</f>
        <v>Croatia_lose</v>
      </c>
      <c r="X7" s="66">
        <f>IF(V7="",0,IF(VLOOKUP(E7,$AC$8:$AL$53,7,FALSE)=VLOOKUP(H7,$AC$8:$AL$53,7,FALSE),1,0))</f>
        <v>0</v>
      </c>
      <c r="Y7" s="65">
        <f>X7*F7</f>
        <v>0</v>
      </c>
      <c r="Z7" s="65">
        <f>X7*G7</f>
        <v>0</v>
      </c>
      <c r="AZ7" s="122"/>
      <c r="BA7" s="123"/>
      <c r="BB7" s="123"/>
      <c r="BC7" s="124"/>
      <c r="BF7" s="122"/>
      <c r="BG7" s="123"/>
      <c r="BH7" s="123"/>
      <c r="BI7" s="124"/>
      <c r="BL7" s="122"/>
      <c r="BM7" s="123"/>
      <c r="BN7" s="123"/>
      <c r="BO7" s="124"/>
      <c r="BR7" s="122"/>
      <c r="BS7" s="123"/>
      <c r="BT7" s="123"/>
      <c r="BU7" s="124"/>
    </row>
    <row r="8" spans="1:73" ht="12.75" customHeight="1">
      <c r="A8" s="90">
        <v>2</v>
      </c>
      <c r="B8" s="91" t="str">
        <f t="shared" si="0"/>
        <v>Fri</v>
      </c>
      <c r="C8" s="92" t="str">
        <f t="shared" si="1"/>
        <v>Jun 13, 2014</v>
      </c>
      <c r="D8" s="93">
        <f t="shared" ref="D8:D54" si="3">TIME(HOUR(U8),MINUTE(U8),0)</f>
        <v>0.375</v>
      </c>
      <c r="E8" s="94" t="str">
        <f>AC10</f>
        <v>Mexico</v>
      </c>
      <c r="F8" s="117">
        <v>3</v>
      </c>
      <c r="G8" s="118">
        <v>0</v>
      </c>
      <c r="H8" s="101" t="str">
        <f>AC11</f>
        <v>Cameroon</v>
      </c>
      <c r="I8" s="130" t="str">
        <f>INDEX(T,109,lang)</f>
        <v>Natal</v>
      </c>
      <c r="J8" s="131"/>
      <c r="K8" s="132"/>
      <c r="M8" s="57" t="str">
        <f>INDEX(T,9,lang) &amp; " " &amp; "A"</f>
        <v>Group A</v>
      </c>
      <c r="N8" s="58" t="str">
        <f>INDEX(T,10,lang)</f>
        <v>PL</v>
      </c>
      <c r="O8" s="58" t="str">
        <f>INDEX(T,11,lang)</f>
        <v>W</v>
      </c>
      <c r="P8" s="58" t="str">
        <f>INDEX(T,12,lang)</f>
        <v>DRAW</v>
      </c>
      <c r="Q8" s="58" t="str">
        <f>INDEX(T,13,lang)</f>
        <v>L</v>
      </c>
      <c r="R8" s="58" t="str">
        <f>INDEX(T,14,lang)</f>
        <v>GF - GA</v>
      </c>
      <c r="S8" s="58" t="str">
        <f>INDEX(T,15,lang)</f>
        <v>PNT</v>
      </c>
      <c r="U8" s="65">
        <f>DATE(2014,6,13)+TIME(5,0,0)+gmt_delta</f>
        <v>41803.375</v>
      </c>
      <c r="V8" s="71" t="str">
        <f t="shared" ref="V8:V54" si="4">IF(OR(F8="",G8=""),"",IF(F8&gt;G8,E8&amp;"_win",IF(F8&lt;G8,E8&amp;"_lose",E8&amp;"_draw")))</f>
        <v>Mexico_win</v>
      </c>
      <c r="W8" s="71" t="str">
        <f t="shared" si="2"/>
        <v>Cameroon_lose</v>
      </c>
      <c r="X8" s="66">
        <f t="shared" ref="X8:X54" si="5">IF(V8="",0,IF(VLOOKUP(E8,$AC$8:$AL$53,7,FALSE)=VLOOKUP(H8,$AC$8:$AL$53,7,FALSE),1,0))</f>
        <v>0</v>
      </c>
      <c r="Y8" s="65">
        <f t="shared" ref="Y8:Y54" si="6">X8*F8</f>
        <v>0</v>
      </c>
      <c r="Z8" s="65">
        <f t="shared" ref="Z8:Z54" si="7">X8*G8</f>
        <v>0</v>
      </c>
      <c r="AB8" s="65">
        <f>COUNTIF(AO8:AO11,CONCATENATE("&gt;=",AO8))</f>
        <v>1</v>
      </c>
      <c r="AC8" s="66" t="str">
        <f>INDEX(T,62,lang)</f>
        <v>Brazil</v>
      </c>
      <c r="AD8" s="65">
        <f>COUNTIF($V$7:$W$54,"=" &amp; AC8 &amp; "_win")</f>
        <v>2</v>
      </c>
      <c r="AE8" s="65">
        <f>COUNTIF($V$7:$W$54,"=" &amp; AC8 &amp; "_draw")</f>
        <v>1</v>
      </c>
      <c r="AF8" s="65">
        <f>COUNTIF($V$7:$W$54,"=" &amp; AC8 &amp; "_lose")</f>
        <v>0</v>
      </c>
      <c r="AG8" s="65">
        <f>SUMIF($E$7:$E$54,$AC8,$F$7:$F$54) + SUMIF($H$7:$H$54,$AC8,$G$7:$G$54)</f>
        <v>7</v>
      </c>
      <c r="AH8" s="65">
        <f>SUMIF($E$7:$E$54,$AC8,$G$7:$G$54) + SUMIF($H$7:$H$54,$AC8,$F$7:$F$54)</f>
        <v>2</v>
      </c>
      <c r="AI8" s="65">
        <f>(AG8-AH8)+1</f>
        <v>6</v>
      </c>
      <c r="AJ8" s="65">
        <f>AG8-AH8</f>
        <v>5</v>
      </c>
      <c r="AK8" s="65">
        <f>(AJ8-AJ13)/AJ12</f>
        <v>0.9375</v>
      </c>
      <c r="AL8" s="65">
        <f>AD8*3+AE8</f>
        <v>7</v>
      </c>
      <c r="AM8" s="65">
        <f>AQ8/AQ12*1000+AR8/AR12*100+AU8/AU12*10+AS8/AS12</f>
        <v>50</v>
      </c>
      <c r="AN8" s="65">
        <f>VLOOKUP(AC8,db_fifarank,2,FALSE)/2000000</f>
        <v>6.0499999999999996E-4</v>
      </c>
      <c r="AO8" s="66">
        <f>1000*AL8/AL12+100*AK8+10*AG8/AG12+1*AM8/AM12+AN8</f>
        <v>979.73099715686271</v>
      </c>
      <c r="AP8" s="67" t="str">
        <f>IF(SUM(AD8:AF11)=12,M9,INDEX(T,70,lang))</f>
        <v>Brazil</v>
      </c>
      <c r="AQ8" s="68">
        <f>SUMPRODUCT(($V$7:$V$54=AC8&amp;"_win")*($X$7:$X$54))+SUMPRODUCT(($W$7:$W$54=AC8&amp;"_win")*($X$7:$X$54))</f>
        <v>0</v>
      </c>
      <c r="AR8" s="69">
        <f>SUMPRODUCT(($V$7:$V$54=AC8&amp;"_draw")*($X$7:$X$54))+SUMPRODUCT(($W$7:$W$54=AC8&amp;"_draw")*($X$7:$X$54))</f>
        <v>1</v>
      </c>
      <c r="AS8" s="69">
        <f>SUMPRODUCT(($E$7:$E$54=AC8)*($X$7:$X$54)*($F$7:$F$54))+SUMPRODUCT(($H$7:$H$54=AC8)*($X$7:$X$54)*($G$7:$G$54))</f>
        <v>0</v>
      </c>
      <c r="AT8" s="69">
        <f>SUMPRODUCT(($E$7:$E$54=AC8)*($X$7:$X$54)*($G$7:$G$54))+SUMPRODUCT(($H$7:$H$54=AC8)*($X$7:$X$54)*($F$7:$F$54))</f>
        <v>0</v>
      </c>
      <c r="AU8" s="69">
        <f>AS8-AT8</f>
        <v>0</v>
      </c>
      <c r="BG8" s="103"/>
      <c r="BH8" s="103"/>
      <c r="BM8" s="103"/>
      <c r="BN8" s="103"/>
      <c r="BO8" s="103"/>
      <c r="BP8" s="103"/>
      <c r="BQ8" s="103"/>
      <c r="BR8" s="103"/>
      <c r="BS8" s="103"/>
      <c r="BT8" s="103"/>
      <c r="BU8" s="103"/>
    </row>
    <row r="9" spans="1:73" ht="12.75" customHeight="1">
      <c r="A9" s="90">
        <v>3</v>
      </c>
      <c r="B9" s="91" t="str">
        <f t="shared" si="0"/>
        <v>Fri</v>
      </c>
      <c r="C9" s="92" t="str">
        <f t="shared" si="1"/>
        <v>Jun 13, 2014</v>
      </c>
      <c r="D9" s="93">
        <f t="shared" si="3"/>
        <v>0.5</v>
      </c>
      <c r="E9" s="94" t="str">
        <f>AC14</f>
        <v>Spain</v>
      </c>
      <c r="F9" s="117">
        <v>1</v>
      </c>
      <c r="G9" s="118">
        <v>5</v>
      </c>
      <c r="H9" s="101" t="str">
        <f>AC15</f>
        <v>Netherlands</v>
      </c>
      <c r="I9" s="130" t="str">
        <f>INDEX(T,113,lang)</f>
        <v>Salvador</v>
      </c>
      <c r="J9" s="131"/>
      <c r="K9" s="132"/>
      <c r="M9" s="22" t="str">
        <f>VLOOKUP(1,AB8:AL11,2,FALSE)</f>
        <v>Brazil</v>
      </c>
      <c r="N9" s="27">
        <f>O9+P9+Q9</f>
        <v>3</v>
      </c>
      <c r="O9" s="27">
        <f>VLOOKUP(1,AB8:AL11,3,FALSE)</f>
        <v>2</v>
      </c>
      <c r="P9" s="27">
        <f>VLOOKUP(1,AB8:AL11,4,FALSE)</f>
        <v>1</v>
      </c>
      <c r="Q9" s="27">
        <f>VLOOKUP(1,AB8:AL11,5,FALSE)</f>
        <v>0</v>
      </c>
      <c r="R9" s="27" t="str">
        <f>VLOOKUP(1,AB8:AL11,6,FALSE) &amp; " - " &amp; VLOOKUP(1,AB8:AL11,7,FALSE)</f>
        <v>7 - 2</v>
      </c>
      <c r="S9" s="28">
        <f>O9*3+P9</f>
        <v>7</v>
      </c>
      <c r="U9" s="65">
        <f>DATE(2014,6,13)+TIME(8,0,0)+gmt_delta</f>
        <v>41803.5</v>
      </c>
      <c r="V9" s="71" t="str">
        <f t="shared" si="4"/>
        <v>Spain_lose</v>
      </c>
      <c r="W9" s="71" t="str">
        <f t="shared" si="2"/>
        <v>Netherlands_win</v>
      </c>
      <c r="X9" s="66">
        <f t="shared" si="5"/>
        <v>0</v>
      </c>
      <c r="Y9" s="65">
        <f t="shared" si="6"/>
        <v>0</v>
      </c>
      <c r="Z9" s="65">
        <f t="shared" si="7"/>
        <v>0</v>
      </c>
      <c r="AB9" s="65">
        <f>COUNTIF(AO8:AO11,CONCATENATE("&gt;=",AO9))</f>
        <v>3</v>
      </c>
      <c r="AC9" s="66" t="str">
        <f>INDEX(T,38,lang)</f>
        <v>Croatia</v>
      </c>
      <c r="AD9" s="65">
        <f>COUNTIF($V$7:$W$54,"=" &amp; AC9 &amp; "_win")</f>
        <v>1</v>
      </c>
      <c r="AE9" s="65">
        <f>COUNTIF($V$7:$W$54,"=" &amp; AC9 &amp; "_draw")</f>
        <v>0</v>
      </c>
      <c r="AF9" s="65">
        <f>COUNTIF($V$7:$W$54,"=" &amp; AC9 &amp; "_lose")</f>
        <v>2</v>
      </c>
      <c r="AG9" s="65">
        <f>SUMIF($E$7:$E$54,$AC9,$F$7:$F$54) + SUMIF($H$7:$H$54,$AC9,$G$7:$G$54)</f>
        <v>6</v>
      </c>
      <c r="AH9" s="65">
        <f>SUMIF($E$7:$E$54,$AC9,$G$7:$G$54) + SUMIF($H$7:$H$54,$AC9,$F$7:$F$54)</f>
        <v>6</v>
      </c>
      <c r="AI9" s="65">
        <f>(AG9-AH9)+1</f>
        <v>1</v>
      </c>
      <c r="AJ9" s="65">
        <f>AG9-AH9</f>
        <v>0</v>
      </c>
      <c r="AK9" s="65">
        <f>(AJ9-AJ13)/AJ12</f>
        <v>0.625</v>
      </c>
      <c r="AL9" s="65">
        <f>AD9*3+AE9</f>
        <v>3</v>
      </c>
      <c r="AM9" s="65">
        <f>AQ9/AQ12*1000+AR9/AR12*100+AU9/AU12*10+AS9/AS12</f>
        <v>0</v>
      </c>
      <c r="AN9" s="65">
        <f>VLOOKUP(AC9,db_fifarank,2,FALSE)/2000000</f>
        <v>4.3550000000000001E-4</v>
      </c>
      <c r="AO9" s="66">
        <f>1000*AL9/AL12+100*AK9+10*AG9/AG12+1*AM9/AM12+AN9</f>
        <v>446.07186407142854</v>
      </c>
      <c r="AP9" s="67" t="str">
        <f>IF(SUM(AD8:AF11)=12,M10,INDEX(T,71,lang))</f>
        <v>Mexico</v>
      </c>
      <c r="AQ9" s="68">
        <f>SUMPRODUCT(($V$7:$V$54=AC9&amp;"_win")*($X$7:$X$54))+SUMPRODUCT(($W$7:$W$54=AC9&amp;"_win")*($X$7:$X$54))</f>
        <v>0</v>
      </c>
      <c r="AR9" s="69">
        <f>SUMPRODUCT(($V$7:$V$54=AC9&amp;"_draw")*($X$7:$X$54))+SUMPRODUCT(($W$7:$W$54=AC9&amp;"_draw")*($X$7:$X$54))</f>
        <v>0</v>
      </c>
      <c r="AS9" s="69">
        <f>SUMPRODUCT(($E$7:$E$54=AC9)*($X$7:$X$54)*($F$7:$F$54))+SUMPRODUCT(($H$7:$H$54=AC9)*($X$7:$X$54)*($G$7:$G$54))</f>
        <v>0</v>
      </c>
      <c r="AT9" s="69">
        <f>SUMPRODUCT(($E$7:$E$54=AC9)*($X$7:$X$54)*($G$7:$G$54))+SUMPRODUCT(($H$7:$H$54=AC9)*($X$7:$X$54)*($F$7:$F$54))</f>
        <v>0</v>
      </c>
      <c r="AU9" s="69">
        <f>AS9-AT9</f>
        <v>0</v>
      </c>
      <c r="AZ9" s="103" t="str">
        <f>INDEX(T,24+MONTH(U58),lang) &amp; " " &amp; DAY(U58) &amp; ", " &amp; YEAR(U58) &amp; "   " &amp; TEXT(TIME(HOUR(U58),MINUTE(U58),0),"hh:mm")</f>
        <v>Jun 28, 2014   09:00</v>
      </c>
      <c r="BA9" s="103"/>
      <c r="BB9" s="103"/>
      <c r="BC9" s="112" t="str">
        <f>INDEX(T,103,lang)</f>
        <v>Belo Horizonte</v>
      </c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</row>
    <row r="10" spans="1:73">
      <c r="A10" s="90">
        <v>4</v>
      </c>
      <c r="B10" s="91" t="str">
        <f t="shared" si="0"/>
        <v>Fri</v>
      </c>
      <c r="C10" s="92" t="str">
        <f t="shared" si="1"/>
        <v>Jun 13, 2014</v>
      </c>
      <c r="D10" s="93">
        <f t="shared" si="3"/>
        <v>0.625</v>
      </c>
      <c r="E10" s="94" t="str">
        <f>AC16</f>
        <v>Chile</v>
      </c>
      <c r="F10" s="117">
        <v>3</v>
      </c>
      <c r="G10" s="118">
        <v>1</v>
      </c>
      <c r="H10" s="101" t="str">
        <f>AC17</f>
        <v>Australia</v>
      </c>
      <c r="I10" s="130" t="str">
        <f>INDEX(T,106,lang)</f>
        <v>Curitiba</v>
      </c>
      <c r="J10" s="131"/>
      <c r="K10" s="132"/>
      <c r="M10" s="23" t="str">
        <f>VLOOKUP(2,AB8:AL11,2,FALSE)</f>
        <v>Mexico</v>
      </c>
      <c r="N10" s="29">
        <f>O10+P10+Q10</f>
        <v>3</v>
      </c>
      <c r="O10" s="29">
        <f>VLOOKUP(2,AB8:AL11,3,FALSE)</f>
        <v>2</v>
      </c>
      <c r="P10" s="29">
        <f>VLOOKUP(2,AB8:AL11,4,FALSE)</f>
        <v>1</v>
      </c>
      <c r="Q10" s="29">
        <f>VLOOKUP(2,AB8:AL11,5,FALSE)</f>
        <v>0</v>
      </c>
      <c r="R10" s="29" t="str">
        <f>VLOOKUP(2,AB8:AL11,6,FALSE) &amp; " - " &amp; VLOOKUP(2,AB8:AL11,7,FALSE)</f>
        <v>6 - 1</v>
      </c>
      <c r="S10" s="30">
        <f>O10*3+P10</f>
        <v>7</v>
      </c>
      <c r="U10" s="65">
        <f>DATE(2014,6,13)+TIME(11,0,0)+gmt_delta</f>
        <v>41803.625</v>
      </c>
      <c r="V10" s="71" t="str">
        <f t="shared" si="4"/>
        <v>Chile_win</v>
      </c>
      <c r="W10" s="71" t="str">
        <f t="shared" si="2"/>
        <v>Australia_lose</v>
      </c>
      <c r="X10" s="66">
        <f t="shared" si="5"/>
        <v>0</v>
      </c>
      <c r="Y10" s="65">
        <f t="shared" si="6"/>
        <v>0</v>
      </c>
      <c r="Z10" s="65">
        <f t="shared" si="7"/>
        <v>0</v>
      </c>
      <c r="AB10" s="65">
        <f>COUNTIF(AO8:AO11,CONCATENATE("&gt;=",AO10))</f>
        <v>2</v>
      </c>
      <c r="AC10" s="66" t="str">
        <f>INDEX(T,39,lang)</f>
        <v>Mexico</v>
      </c>
      <c r="AD10" s="65">
        <f>COUNTIF($V$7:$W$54,"=" &amp; AC10 &amp; "_win")</f>
        <v>2</v>
      </c>
      <c r="AE10" s="65">
        <f>COUNTIF($V$7:$W$54,"=" &amp; AC10 &amp; "_draw")</f>
        <v>1</v>
      </c>
      <c r="AF10" s="65">
        <f>COUNTIF($V$7:$W$54,"=" &amp; AC10 &amp; "_lose")</f>
        <v>0</v>
      </c>
      <c r="AG10" s="65">
        <f>SUMIF($E$7:$E$54,$AC10,$F$7:$F$54) + SUMIF($H$7:$H$54,$AC10,$G$7:$G$54)</f>
        <v>6</v>
      </c>
      <c r="AH10" s="65">
        <f>SUMIF($E$7:$E$54,$AC10,$G$7:$G$54) + SUMIF($H$7:$H$54,$AC10,$F$7:$F$54)</f>
        <v>1</v>
      </c>
      <c r="AI10" s="65">
        <f>(AG10-AH10)+1</f>
        <v>6</v>
      </c>
      <c r="AJ10" s="65">
        <f>AG10-AH10</f>
        <v>5</v>
      </c>
      <c r="AK10" s="65">
        <f>(AJ10-AJ13)/AJ12</f>
        <v>0.9375</v>
      </c>
      <c r="AL10" s="65">
        <f>AD10*3+AE10</f>
        <v>7</v>
      </c>
      <c r="AM10" s="65">
        <f>AQ10/AQ12*1000+AR10/AR12*100+AU10/AU12*10+AS10/AS12</f>
        <v>50</v>
      </c>
      <c r="AN10" s="65">
        <f>VLOOKUP(AC10,db_fifarank,2,FALSE)/2000000</f>
        <v>4.3849999999999998E-4</v>
      </c>
      <c r="AO10" s="66">
        <f>1000*AL10/AL12+100*AK10+10*AG10/AG12+1*AM10/AM12+AN10</f>
        <v>978.30225922829129</v>
      </c>
      <c r="AQ10" s="68">
        <f>SUMPRODUCT(($V$7:$V$54=AC10&amp;"_win")*($X$7:$X$54))+SUMPRODUCT(($W$7:$W$54=AC10&amp;"_win")*($X$7:$X$54))</f>
        <v>0</v>
      </c>
      <c r="AR10" s="69">
        <f>SUMPRODUCT(($V$7:$V$54=AC10&amp;"_draw")*($X$7:$X$54))+SUMPRODUCT(($W$7:$W$54=AC10&amp;"_draw")*($X$7:$X$54))</f>
        <v>1</v>
      </c>
      <c r="AS10" s="69">
        <f>SUMPRODUCT(($E$7:$E$54=AC10)*($X$7:$X$54)*($F$7:$F$54))+SUMPRODUCT(($H$7:$H$54=AC10)*($X$7:$X$54)*($G$7:$G$54))</f>
        <v>0</v>
      </c>
      <c r="AT10" s="69">
        <f>SUMPRODUCT(($E$7:$E$54=AC10)*($X$7:$X$54)*($G$7:$G$54))+SUMPRODUCT(($H$7:$H$54=AC10)*($X$7:$X$54)*($F$7:$F$54))</f>
        <v>0</v>
      </c>
      <c r="AU10" s="69">
        <f>AS10-AT10</f>
        <v>0</v>
      </c>
      <c r="AZ10" s="125">
        <v>49</v>
      </c>
      <c r="BA10" s="110" t="str">
        <f>AP8</f>
        <v>Brazil</v>
      </c>
      <c r="BB10" s="63">
        <v>1</v>
      </c>
      <c r="BC10" s="64">
        <v>3</v>
      </c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</row>
    <row r="11" spans="1:73">
      <c r="A11" s="90">
        <v>5</v>
      </c>
      <c r="B11" s="91" t="str">
        <f t="shared" si="0"/>
        <v>Sat</v>
      </c>
      <c r="C11" s="92" t="str">
        <f t="shared" si="1"/>
        <v>Jun 14, 2014</v>
      </c>
      <c r="D11" s="93">
        <f t="shared" si="3"/>
        <v>0.375</v>
      </c>
      <c r="E11" s="94" t="str">
        <f>AC20</f>
        <v>Colombia</v>
      </c>
      <c r="F11" s="117">
        <v>3</v>
      </c>
      <c r="G11" s="118">
        <v>1</v>
      </c>
      <c r="H11" s="101" t="str">
        <f>AC21</f>
        <v>Greece</v>
      </c>
      <c r="I11" s="130" t="str">
        <f>INDEX(T,103,lang)</f>
        <v>Belo Horizonte</v>
      </c>
      <c r="J11" s="131"/>
      <c r="K11" s="132"/>
      <c r="M11" s="23" t="str">
        <f>VLOOKUP(3,AB8:AL11,2,FALSE)</f>
        <v>Croatia</v>
      </c>
      <c r="N11" s="29">
        <f>O11+P11+Q11</f>
        <v>3</v>
      </c>
      <c r="O11" s="29">
        <f>VLOOKUP(3,AB8:AL11,3,FALSE)</f>
        <v>1</v>
      </c>
      <c r="P11" s="29">
        <f>VLOOKUP(3,AB8:AL11,4,FALSE)</f>
        <v>0</v>
      </c>
      <c r="Q11" s="29">
        <f>VLOOKUP(3,AB8:AL11,5,FALSE)</f>
        <v>2</v>
      </c>
      <c r="R11" s="29" t="str">
        <f>VLOOKUP(3,AB8:AL11,6,FALSE) &amp; " - " &amp; VLOOKUP(3,AB8:AL11,7,FALSE)</f>
        <v>6 - 6</v>
      </c>
      <c r="S11" s="30">
        <f>O11*3+P11</f>
        <v>3</v>
      </c>
      <c r="U11" s="65">
        <f>DATE(2014,6,14)+TIME(5,0,0)+gmt_delta</f>
        <v>41804.375</v>
      </c>
      <c r="V11" s="71" t="str">
        <f t="shared" si="4"/>
        <v>Colombia_win</v>
      </c>
      <c r="W11" s="71" t="str">
        <f t="shared" si="2"/>
        <v>Greece_lose</v>
      </c>
      <c r="X11" s="66">
        <f t="shared" si="5"/>
        <v>0</v>
      </c>
      <c r="Y11" s="65">
        <f t="shared" si="6"/>
        <v>0</v>
      </c>
      <c r="Z11" s="65">
        <f t="shared" si="7"/>
        <v>0</v>
      </c>
      <c r="AB11" s="65">
        <f>COUNTIF(AO8:AO11,CONCATENATE("&gt;=",AO11))</f>
        <v>4</v>
      </c>
      <c r="AC11" s="66" t="str">
        <f>INDEX(T,57,lang)</f>
        <v>Cameroon</v>
      </c>
      <c r="AD11" s="65">
        <f>COUNTIF($V$7:$W$54,"=" &amp; AC11 &amp; "_win")</f>
        <v>0</v>
      </c>
      <c r="AE11" s="65">
        <f>COUNTIF($V$7:$W$54,"=" &amp; AC11 &amp; "_draw")</f>
        <v>0</v>
      </c>
      <c r="AF11" s="65">
        <f>COUNTIF($V$7:$W$54,"=" &amp; AC11 &amp; "_lose")</f>
        <v>3</v>
      </c>
      <c r="AG11" s="65">
        <f>SUMIF($E$7:$E$54,$AC11,$F$7:$F$54) + SUMIF($H$7:$H$54,$AC11,$G$7:$G$54)</f>
        <v>1</v>
      </c>
      <c r="AH11" s="65">
        <f>SUMIF($E$7:$E$54,$AC11,$G$7:$G$54) + SUMIF($H$7:$H$54,$AC11,$F$7:$F$54)</f>
        <v>11</v>
      </c>
      <c r="AI11" s="65">
        <f>(AG11-AH11)+1</f>
        <v>-9</v>
      </c>
      <c r="AJ11" s="65">
        <f>AG11-AH11</f>
        <v>-10</v>
      </c>
      <c r="AK11" s="65">
        <f>(AJ11-AJ13)/AJ12</f>
        <v>0</v>
      </c>
      <c r="AL11" s="65">
        <f>AD11*3+AE11</f>
        <v>0</v>
      </c>
      <c r="AM11" s="65">
        <f>AQ11/AQ12*1000+AR11/AR12*100+AU11/AU12*10+AS11/AS12</f>
        <v>0</v>
      </c>
      <c r="AN11" s="65">
        <f>VLOOKUP(AC11,db_fifarank,2,FALSE)/2000000</f>
        <v>2.9149999999999998E-4</v>
      </c>
      <c r="AO11" s="66">
        <f>1000*AL11/AL12+100*AK11+10*AG11/AG12+1*AM11/AM12+AN11</f>
        <v>1.4288629285714285</v>
      </c>
      <c r="AQ11" s="68">
        <f>SUMPRODUCT(($V$7:$V$54=AC11&amp;"_win")*($X$7:$X$54))+SUMPRODUCT(($W$7:$W$54=AC11&amp;"_win")*($X$7:$X$54))</f>
        <v>0</v>
      </c>
      <c r="AR11" s="69">
        <f>SUMPRODUCT(($V$7:$V$54=AC11&amp;"_draw")*($X$7:$X$54))+SUMPRODUCT(($W$7:$W$54=AC11&amp;"_draw")*($X$7:$X$54))</f>
        <v>0</v>
      </c>
      <c r="AS11" s="69">
        <f>SUMPRODUCT(($E$7:$E$54=AC11)*($X$7:$X$54)*($F$7:$F$54))+SUMPRODUCT(($H$7:$H$54=AC11)*($X$7:$X$54)*($G$7:$G$54))</f>
        <v>0</v>
      </c>
      <c r="AT11" s="69">
        <f>SUMPRODUCT(($E$7:$E$54=AC11)*($X$7:$X$54)*($G$7:$G$54))+SUMPRODUCT(($H$7:$H$54=AC11)*($X$7:$X$54)*($F$7:$F$54))</f>
        <v>0</v>
      </c>
      <c r="AU11" s="69">
        <f>AS11-AT11</f>
        <v>0</v>
      </c>
      <c r="AZ11" s="126"/>
      <c r="BA11" s="111" t="str">
        <f>AP15</f>
        <v>Chile</v>
      </c>
      <c r="BB11" s="61">
        <v>1</v>
      </c>
      <c r="BC11" s="62">
        <v>2</v>
      </c>
      <c r="BD11" s="106"/>
      <c r="BE11" s="103"/>
      <c r="BF11" s="103" t="str">
        <f>INDEX(T,24+MONTH(U69),lang) &amp; " " &amp; DAY(U69) &amp; ", " &amp; YEAR(U69) &amp; "   " &amp; TEXT(TIME(HOUR(U69),MINUTE(U69),0),"hh:mm")</f>
        <v>Jul 4, 2014   13:00</v>
      </c>
      <c r="BG11" s="103"/>
      <c r="BH11" s="103"/>
      <c r="BI11" s="113" t="str">
        <f>INDEX(T,107,lang)</f>
        <v>Fortaleza</v>
      </c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</row>
    <row r="12" spans="1:73">
      <c r="A12" s="90">
        <v>6</v>
      </c>
      <c r="B12" s="91" t="str">
        <f t="shared" si="0"/>
        <v>Sat</v>
      </c>
      <c r="C12" s="92" t="str">
        <f t="shared" si="1"/>
        <v>Jun 14, 2014</v>
      </c>
      <c r="D12" s="93">
        <f t="shared" si="3"/>
        <v>0.75</v>
      </c>
      <c r="E12" s="94" t="str">
        <f>AC22</f>
        <v>Côte d'Ivoire</v>
      </c>
      <c r="F12" s="117">
        <v>2</v>
      </c>
      <c r="G12" s="118">
        <v>1</v>
      </c>
      <c r="H12" s="101" t="str">
        <f>AC23</f>
        <v>Japan</v>
      </c>
      <c r="I12" s="130" t="str">
        <f>INDEX(T,111,lang)</f>
        <v>Recife</v>
      </c>
      <c r="J12" s="131"/>
      <c r="K12" s="132"/>
      <c r="M12" s="24" t="str">
        <f>VLOOKUP(4,AB8:AL11,2,FALSE)</f>
        <v>Cameroon</v>
      </c>
      <c r="N12" s="31">
        <f>O12+P12+Q12</f>
        <v>3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3</v>
      </c>
      <c r="R12" s="31" t="str">
        <f>VLOOKUP(4,AB8:AL11,6,FALSE) &amp; " - " &amp; VLOOKUP(4,AB8:AL11,7,FALSE)</f>
        <v>1 - 11</v>
      </c>
      <c r="S12" s="32">
        <f>O12*3+P12</f>
        <v>0</v>
      </c>
      <c r="U12" s="65">
        <f>DATE(2014,6,14)+TIME(14,0,0)+gmt_delta</f>
        <v>41804.75</v>
      </c>
      <c r="V12" s="71" t="str">
        <f t="shared" si="4"/>
        <v>Côte d'Ivoire_win</v>
      </c>
      <c r="W12" s="71" t="str">
        <f t="shared" si="2"/>
        <v>Japan_lose</v>
      </c>
      <c r="X12" s="66">
        <f t="shared" si="5"/>
        <v>0</v>
      </c>
      <c r="Y12" s="65">
        <f t="shared" si="6"/>
        <v>0</v>
      </c>
      <c r="Z12" s="65">
        <f t="shared" si="7"/>
        <v>0</v>
      </c>
      <c r="AD12" s="65">
        <f t="shared" ref="AD12:AM12" si="8">MAX(AD8:AD11)-MIN(AD8:AD11)+1</f>
        <v>3</v>
      </c>
      <c r="AE12" s="65">
        <f t="shared" si="8"/>
        <v>2</v>
      </c>
      <c r="AF12" s="65">
        <f t="shared" si="8"/>
        <v>4</v>
      </c>
      <c r="AG12" s="65">
        <f t="shared" si="8"/>
        <v>7</v>
      </c>
      <c r="AH12" s="65">
        <f t="shared" si="8"/>
        <v>11</v>
      </c>
      <c r="AI12" s="65">
        <f>MAX(AI8:AI11)-AI13+1</f>
        <v>16</v>
      </c>
      <c r="AJ12" s="65">
        <f>MAX(AJ8:AJ11)-AJ13+1</f>
        <v>16</v>
      </c>
      <c r="AL12" s="65">
        <f t="shared" si="8"/>
        <v>8</v>
      </c>
      <c r="AM12" s="65">
        <f t="shared" si="8"/>
        <v>51</v>
      </c>
      <c r="AQ12" s="65">
        <f>MAX(AQ8:AQ11)-MIN(AQ8:AQ11)+1</f>
        <v>1</v>
      </c>
      <c r="AR12" s="65">
        <f>MAX(AR8:AR11)-MIN(AR8:AR11)+1</f>
        <v>2</v>
      </c>
      <c r="AS12" s="65">
        <f>MAX(AS8:AS11)-MIN(AS8:AS11)+1</f>
        <v>1</v>
      </c>
      <c r="AT12" s="65">
        <f>MAX(AT8:AT11)-MIN(AT8:AT11)+1</f>
        <v>1</v>
      </c>
      <c r="AU12" s="65">
        <f>MAX(AU8:AU11)-MIN(AU8:AU11)+1</f>
        <v>1</v>
      </c>
      <c r="AZ12" s="103"/>
      <c r="BA12" s="103"/>
      <c r="BB12" s="103"/>
      <c r="BC12" s="103"/>
      <c r="BD12" s="104"/>
      <c r="BE12" s="103"/>
      <c r="BF12" s="125">
        <v>57</v>
      </c>
      <c r="BG12" s="110" t="str">
        <f>W58</f>
        <v>Brazil</v>
      </c>
      <c r="BH12" s="63">
        <v>2</v>
      </c>
      <c r="BI12" s="64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</row>
    <row r="13" spans="1:73">
      <c r="A13" s="90">
        <v>7</v>
      </c>
      <c r="B13" s="91" t="str">
        <f t="shared" si="0"/>
        <v>Sat</v>
      </c>
      <c r="C13" s="92" t="str">
        <f t="shared" si="1"/>
        <v>Jun 14, 2014</v>
      </c>
      <c r="D13" s="93">
        <f t="shared" si="3"/>
        <v>0.5</v>
      </c>
      <c r="E13" s="94" t="str">
        <f>AC26</f>
        <v>Uruguay</v>
      </c>
      <c r="F13" s="117">
        <v>1</v>
      </c>
      <c r="G13" s="118">
        <v>3</v>
      </c>
      <c r="H13" s="101" t="str">
        <f>AC27</f>
        <v>Costa Rica</v>
      </c>
      <c r="I13" s="130" t="str">
        <f>INDEX(T,107,lang)</f>
        <v>Fortaleza</v>
      </c>
      <c r="J13" s="131"/>
      <c r="K13" s="132"/>
      <c r="M13" s="33"/>
      <c r="N13" s="34"/>
      <c r="O13" s="34"/>
      <c r="P13" s="34"/>
      <c r="Q13" s="34"/>
      <c r="R13" s="34"/>
      <c r="S13" s="34"/>
      <c r="U13" s="65">
        <f>DATE(2014,6,14)+TIME(8,0,0)+gmt_delta</f>
        <v>41804.5</v>
      </c>
      <c r="V13" s="71" t="str">
        <f t="shared" si="4"/>
        <v>Uruguay_lose</v>
      </c>
      <c r="W13" s="71" t="str">
        <f t="shared" si="2"/>
        <v>Costa Rica_win</v>
      </c>
      <c r="X13" s="66">
        <f t="shared" si="5"/>
        <v>0</v>
      </c>
      <c r="Y13" s="65">
        <f t="shared" si="6"/>
        <v>0</v>
      </c>
      <c r="Z13" s="65">
        <f t="shared" si="7"/>
        <v>0</v>
      </c>
      <c r="AI13" s="65">
        <f>MIN(AI8:AI11)</f>
        <v>-9</v>
      </c>
      <c r="AJ13" s="65">
        <f>MIN(AJ8:AJ11)</f>
        <v>-10</v>
      </c>
      <c r="AZ13" s="103" t="str">
        <f>INDEX(T,24+MONTH(U59),lang) &amp; " " &amp; DAY(U59) &amp; ", " &amp; YEAR(U59) &amp; "   " &amp; TEXT(TIME(HOUR(U59),MINUTE(U59),0),"hh:mm")</f>
        <v>Jun 28, 2014   13:00</v>
      </c>
      <c r="BA13" s="103"/>
      <c r="BB13" s="103"/>
      <c r="BC13" s="113" t="str">
        <f>INDEX(T,112,lang)</f>
        <v>Rio De Janeiro</v>
      </c>
      <c r="BD13" s="104"/>
      <c r="BE13" s="105"/>
      <c r="BF13" s="126"/>
      <c r="BG13" s="111" t="str">
        <f>W59</f>
        <v>Colombia</v>
      </c>
      <c r="BH13" s="61">
        <v>1</v>
      </c>
      <c r="BI13" s="62"/>
      <c r="BJ13" s="106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</row>
    <row r="14" spans="1:73">
      <c r="A14" s="90">
        <v>8</v>
      </c>
      <c r="B14" s="91" t="str">
        <f t="shared" si="0"/>
        <v>Sat</v>
      </c>
      <c r="C14" s="92" t="str">
        <f t="shared" si="1"/>
        <v>Jun 14, 2014</v>
      </c>
      <c r="D14" s="93">
        <f t="shared" si="3"/>
        <v>0.625</v>
      </c>
      <c r="E14" s="94" t="str">
        <f>AC28</f>
        <v>England</v>
      </c>
      <c r="F14" s="117">
        <v>1</v>
      </c>
      <c r="G14" s="118">
        <v>2</v>
      </c>
      <c r="H14" s="101" t="str">
        <f>AC29</f>
        <v>Italy</v>
      </c>
      <c r="I14" s="130" t="str">
        <f>INDEX(T,108,lang)</f>
        <v>Manaus</v>
      </c>
      <c r="J14" s="131"/>
      <c r="K14" s="132"/>
      <c r="M14" s="57" t="str">
        <f>INDEX(T,9,lang) &amp; " " &amp; "B"</f>
        <v>Group B</v>
      </c>
      <c r="N14" s="58" t="str">
        <f>INDEX(T,10,lang)</f>
        <v>PL</v>
      </c>
      <c r="O14" s="58" t="str">
        <f>INDEX(T,11,lang)</f>
        <v>W</v>
      </c>
      <c r="P14" s="58" t="str">
        <f>INDEX(T,12,lang)</f>
        <v>DRAW</v>
      </c>
      <c r="Q14" s="58" t="str">
        <f>INDEX(T,13,lang)</f>
        <v>L</v>
      </c>
      <c r="R14" s="58" t="str">
        <f>INDEX(T,14,lang)</f>
        <v>GF - GA</v>
      </c>
      <c r="S14" s="58" t="str">
        <f>INDEX(T,15,lang)</f>
        <v>PNT</v>
      </c>
      <c r="U14" s="65">
        <f>DATE(2014,6,14)+TIME(11,0,0)+gmt_delta</f>
        <v>41804.625</v>
      </c>
      <c r="V14" s="71" t="str">
        <f t="shared" si="4"/>
        <v>England_lose</v>
      </c>
      <c r="W14" s="71" t="str">
        <f t="shared" si="2"/>
        <v>Italy_win</v>
      </c>
      <c r="X14" s="66">
        <f t="shared" si="5"/>
        <v>0</v>
      </c>
      <c r="Y14" s="65">
        <f t="shared" si="6"/>
        <v>0</v>
      </c>
      <c r="Z14" s="65">
        <f t="shared" si="7"/>
        <v>0</v>
      </c>
      <c r="AB14" s="65">
        <f>COUNTIF(AO14:AO17,CONCATENATE("&gt;=",AO14))</f>
        <v>3</v>
      </c>
      <c r="AC14" s="66" t="str">
        <f>INDEX(T,66,lang)</f>
        <v>Spain</v>
      </c>
      <c r="AD14" s="65">
        <f>COUNTIF($V$7:$W$54,"=" &amp; AC14 &amp; "_win")</f>
        <v>1</v>
      </c>
      <c r="AE14" s="65">
        <f>COUNTIF($V$7:$W$54,"=" &amp; AC14 &amp; "_draw")</f>
        <v>0</v>
      </c>
      <c r="AF14" s="65">
        <f>COUNTIF($V$7:$W$54,"=" &amp; AC14 &amp; "_lose")</f>
        <v>2</v>
      </c>
      <c r="AG14" s="65">
        <f>SUMIF($E$7:$E$54,$AC14,$F$7:$F$54) + SUMIF($H$7:$H$54,$AC14,$G$7:$G$54)</f>
        <v>4</v>
      </c>
      <c r="AH14" s="65">
        <f>SUMIF($E$7:$E$54,$AC14,$G$7:$G$54) + SUMIF($H$7:$H$54,$AC14,$F$7:$F$54)</f>
        <v>7</v>
      </c>
      <c r="AI14" s="65">
        <f>(AG14-AH14)*100+AL14*10000+AG14</f>
        <v>29704</v>
      </c>
      <c r="AJ14" s="65">
        <f>AG14-AH14</f>
        <v>-3</v>
      </c>
      <c r="AK14" s="65">
        <f>(AJ14-AJ19)/AJ18</f>
        <v>0.21428571428571427</v>
      </c>
      <c r="AL14" s="65">
        <f>AD14*3+AE14</f>
        <v>3</v>
      </c>
      <c r="AM14" s="65">
        <f>AQ14/AQ18*1000+AR14/AR18*100+AU14/AU18*10+AS14/AS18</f>
        <v>0</v>
      </c>
      <c r="AN14" s="65">
        <f>VLOOKUP(AC14,db_fifarank,2,FALSE)/2000000</f>
        <v>7.2999999999999996E-4</v>
      </c>
      <c r="AO14" s="66">
        <f>1000*AL14/AL18+100*AK14+10*AG14/AG18+1*AM14/AM18+AN14</f>
        <v>326.42930142857142</v>
      </c>
      <c r="AP14" s="67" t="str">
        <f>IF(SUM(AD14:AF17)=12,M15,INDEX(T,72,lang))</f>
        <v>Netherlands</v>
      </c>
      <c r="AQ14" s="68">
        <f>SUMPRODUCT(($V$7:$V$54=AC14&amp;"_win")*($X$7:$X$54))+SUMPRODUCT(($W$7:$W$54=AC14&amp;"_win")*($X$7:$X$54))</f>
        <v>0</v>
      </c>
      <c r="AR14" s="69">
        <f>SUMPRODUCT(($V$7:$V$54=AC14&amp;"_draw")*($X$7:$X$54))+SUMPRODUCT(($W$7:$W$54=AC14&amp;"_draw")*($X$7:$X$54))</f>
        <v>0</v>
      </c>
      <c r="AS14" s="69">
        <f>SUMPRODUCT(($E$7:$E$54=AC14)*($X$7:$X$54)*($F$7:$F$54))+SUMPRODUCT(($H$7:$H$54=AC14)*($X$7:$X$54)*($G$7:$G$54))</f>
        <v>0</v>
      </c>
      <c r="AT14" s="69">
        <f>SUMPRODUCT(($E$7:$E$54=AC14)*($X$7:$X$54)*($G$7:$G$54))+SUMPRODUCT(($H$7:$H$54=AC14)*($X$7:$X$54)*($F$7:$F$54))</f>
        <v>0</v>
      </c>
      <c r="AU14" s="69">
        <f>AS14-AT14</f>
        <v>0</v>
      </c>
      <c r="AZ14" s="125">
        <v>50</v>
      </c>
      <c r="BA14" s="110" t="str">
        <f>AP20</f>
        <v>Colombia</v>
      </c>
      <c r="BB14" s="63">
        <v>2</v>
      </c>
      <c r="BC14" s="64"/>
      <c r="BD14" s="107"/>
      <c r="BE14" s="103"/>
      <c r="BF14" s="103"/>
      <c r="BG14" s="103"/>
      <c r="BH14" s="103"/>
      <c r="BI14" s="103"/>
      <c r="BJ14" s="104"/>
      <c r="BK14" s="103"/>
      <c r="BL14" s="103"/>
      <c r="BM14" s="103"/>
      <c r="BN14" s="103"/>
      <c r="BO14" s="113"/>
      <c r="BP14" s="103"/>
      <c r="BQ14" s="103"/>
      <c r="BR14" s="103"/>
      <c r="BS14" s="103"/>
      <c r="BT14" s="103"/>
      <c r="BU14" s="103"/>
    </row>
    <row r="15" spans="1:73">
      <c r="A15" s="90">
        <v>9</v>
      </c>
      <c r="B15" s="91" t="str">
        <f t="shared" si="0"/>
        <v>Sun</v>
      </c>
      <c r="C15" s="92" t="str">
        <f t="shared" si="1"/>
        <v>Jun 15, 2014</v>
      </c>
      <c r="D15" s="93">
        <f t="shared" si="3"/>
        <v>0.375</v>
      </c>
      <c r="E15" s="94" t="str">
        <f>AC32</f>
        <v>Switzerland</v>
      </c>
      <c r="F15" s="117">
        <v>2</v>
      </c>
      <c r="G15" s="118">
        <v>1</v>
      </c>
      <c r="H15" s="101" t="str">
        <f>AC33</f>
        <v>Ecuador</v>
      </c>
      <c r="I15" s="130" t="str">
        <f>INDEX(T,104,lang)</f>
        <v>Brasilia</v>
      </c>
      <c r="J15" s="131"/>
      <c r="K15" s="132"/>
      <c r="M15" s="22" t="str">
        <f>VLOOKUP(1,AB14:AL17,2,FALSE)</f>
        <v>Netherlands</v>
      </c>
      <c r="N15" s="27">
        <f>O15+P15+Q15</f>
        <v>3</v>
      </c>
      <c r="O15" s="27">
        <f>VLOOKUP(1,AB14:AL17,3,FALSE)</f>
        <v>3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10 - 3</v>
      </c>
      <c r="S15" s="28">
        <f>O15*3+P15</f>
        <v>9</v>
      </c>
      <c r="U15" s="65">
        <f>DATE(2014,6,15)+TIME(5,0,0)+gmt_delta</f>
        <v>41805.375</v>
      </c>
      <c r="V15" s="71" t="str">
        <f t="shared" si="4"/>
        <v>Switzerland_win</v>
      </c>
      <c r="W15" s="71" t="str">
        <f t="shared" si="2"/>
        <v>Ecuador_lose</v>
      </c>
      <c r="X15" s="66">
        <f t="shared" si="5"/>
        <v>0</v>
      </c>
      <c r="Y15" s="65">
        <f t="shared" si="6"/>
        <v>0</v>
      </c>
      <c r="Z15" s="65">
        <f t="shared" si="7"/>
        <v>0</v>
      </c>
      <c r="AB15" s="65">
        <f>COUNTIF(AO14:AO17,CONCATENATE("&gt;=",AO15))</f>
        <v>1</v>
      </c>
      <c r="AC15" s="66" t="str">
        <f>INDEX(T,54,lang)</f>
        <v>Netherlands</v>
      </c>
      <c r="AD15" s="65">
        <f>COUNTIF($V$7:$W$54,"=" &amp; AC15 &amp; "_win")</f>
        <v>3</v>
      </c>
      <c r="AE15" s="65">
        <f>COUNTIF($V$7:$W$54,"=" &amp; AC15 &amp; "_draw")</f>
        <v>0</v>
      </c>
      <c r="AF15" s="65">
        <f>COUNTIF($V$7:$W$54,"=" &amp; AC15 &amp; "_lose")</f>
        <v>0</v>
      </c>
      <c r="AG15" s="65">
        <f>SUMIF($E$7:$E$54,$AC15,$F$7:$F$54) + SUMIF($H$7:$H$54,$AC15,$G$7:$G$54)</f>
        <v>10</v>
      </c>
      <c r="AH15" s="65">
        <f>SUMIF($E$7:$E$54,$AC15,$G$7:$G$54) + SUMIF($H$7:$H$54,$AC15,$F$7:$F$54)</f>
        <v>3</v>
      </c>
      <c r="AI15" s="65">
        <f>(AG15-AH15)*100+AL15*10000+AG15</f>
        <v>90710</v>
      </c>
      <c r="AJ15" s="65">
        <f>AG15-AH15</f>
        <v>7</v>
      </c>
      <c r="AK15" s="65">
        <f>(AJ15-AJ19)/AJ18</f>
        <v>0.9285714285714286</v>
      </c>
      <c r="AL15" s="65">
        <f>AD15*3+AE15</f>
        <v>9</v>
      </c>
      <c r="AM15" s="65">
        <f>AQ15/AQ18*1000+AR15/AR18*100+AU15/AU18*10+AS15/AS18</f>
        <v>0</v>
      </c>
      <c r="AN15" s="65">
        <f>VLOOKUP(AC15,db_fifarank,2,FALSE)/2000000</f>
        <v>4.8349999999999999E-4</v>
      </c>
      <c r="AO15" s="66">
        <f>1000*AL15/AL18+100*AK15+10*AG15/AG18+1*AM15/AM18+AN15</f>
        <v>1005.3576263571429</v>
      </c>
      <c r="AP15" s="67" t="str">
        <f>IF(SUM(AD14:AF17)=12,M16,INDEX(T,73,lang))</f>
        <v>Chile</v>
      </c>
      <c r="AQ15" s="68">
        <f>SUMPRODUCT(($V$7:$V$54=AC15&amp;"_win")*($X$7:$X$54))+SUMPRODUCT(($W$7:$W$54=AC15&amp;"_win")*($X$7:$X$54))</f>
        <v>0</v>
      </c>
      <c r="AR15" s="69">
        <f>SUMPRODUCT(($V$7:$V$54=AC15&amp;"_draw")*($X$7:$X$54))+SUMPRODUCT(($W$7:$W$54=AC15&amp;"_draw")*($X$7:$X$54))</f>
        <v>0</v>
      </c>
      <c r="AS15" s="69">
        <f>SUMPRODUCT(($E$7:$E$54=AC15)*($X$7:$X$54)*($F$7:$F$54))+SUMPRODUCT(($H$7:$H$54=AC15)*($X$7:$X$54)*($G$7:$G$54))</f>
        <v>0</v>
      </c>
      <c r="AT15" s="69">
        <f>SUMPRODUCT(($E$7:$E$54=AC15)*($X$7:$X$54)*($G$7:$G$54))+SUMPRODUCT(($H$7:$H$54=AC15)*($X$7:$X$54)*($F$7:$F$54))</f>
        <v>0</v>
      </c>
      <c r="AU15" s="69">
        <f>AS15-AT15</f>
        <v>0</v>
      </c>
      <c r="AZ15" s="126"/>
      <c r="BA15" s="111" t="str">
        <f>AP27</f>
        <v>Uruguay</v>
      </c>
      <c r="BB15" s="61">
        <v>0</v>
      </c>
      <c r="BC15" s="62"/>
      <c r="BD15" s="103"/>
      <c r="BE15" s="103"/>
      <c r="BF15" s="103"/>
      <c r="BG15" s="103"/>
      <c r="BH15" s="103"/>
      <c r="BI15" s="103"/>
      <c r="BJ15" s="104"/>
      <c r="BK15" s="103"/>
      <c r="BL15" s="103" t="str">
        <f>INDEX(T,24+MONTH(U76),lang) &amp; " " &amp; DAY(U76) &amp; ", " &amp; YEAR(U76) &amp; "   " &amp; TEXT(TIME(HOUR(U76),MINUTE(U76),0),"hh:mm")</f>
        <v>Jul 8, 2014   13:00</v>
      </c>
      <c r="BM15" s="103"/>
      <c r="BN15" s="103"/>
      <c r="BO15" s="113" t="str">
        <f>INDEX(T,103,lang)</f>
        <v>Belo Horizonte</v>
      </c>
      <c r="BP15" s="103"/>
      <c r="BQ15" s="103"/>
      <c r="BR15" s="103"/>
      <c r="BS15" s="103"/>
      <c r="BT15" s="103"/>
      <c r="BU15" s="103"/>
    </row>
    <row r="16" spans="1:73">
      <c r="A16" s="90">
        <v>10</v>
      </c>
      <c r="B16" s="91" t="str">
        <f t="shared" si="0"/>
        <v>Sun</v>
      </c>
      <c r="C16" s="92" t="str">
        <f t="shared" si="1"/>
        <v>Jun 15, 2014</v>
      </c>
      <c r="D16" s="93">
        <f t="shared" si="3"/>
        <v>0.5</v>
      </c>
      <c r="E16" s="94" t="str">
        <f>AC34</f>
        <v>France</v>
      </c>
      <c r="F16" s="117">
        <v>3</v>
      </c>
      <c r="G16" s="118">
        <v>0</v>
      </c>
      <c r="H16" s="101" t="str">
        <f>AC35</f>
        <v>Honduras</v>
      </c>
      <c r="I16" s="130" t="str">
        <f>INDEX(T,110,lang)</f>
        <v>Porto Alegre</v>
      </c>
      <c r="J16" s="131"/>
      <c r="K16" s="132"/>
      <c r="M16" s="23" t="str">
        <f>VLOOKUP(2,AB14:AL17,2,FALSE)</f>
        <v>Chile</v>
      </c>
      <c r="N16" s="29">
        <f>O16+P16+Q16</f>
        <v>3</v>
      </c>
      <c r="O16" s="29">
        <f>VLOOKUP(2,AB14:AL17,3,FALSE)</f>
        <v>2</v>
      </c>
      <c r="P16" s="29">
        <f>VLOOKUP(2,AB14:AL17,4,FALSE)</f>
        <v>0</v>
      </c>
      <c r="Q16" s="29">
        <f>VLOOKUP(2,AB14:AL17,5,FALSE)</f>
        <v>1</v>
      </c>
      <c r="R16" s="29" t="str">
        <f>VLOOKUP(2,AB14:AL17,6,FALSE) &amp; " - " &amp; VLOOKUP(2,AB14:AL17,7,FALSE)</f>
        <v>5 - 3</v>
      </c>
      <c r="S16" s="30">
        <f>O16*3+P16</f>
        <v>6</v>
      </c>
      <c r="U16" s="65">
        <f>DATE(2014,6,15)+TIME(8,0,0)+gmt_delta</f>
        <v>41805.5</v>
      </c>
      <c r="V16" s="71" t="str">
        <f t="shared" si="4"/>
        <v>France_win</v>
      </c>
      <c r="W16" s="71" t="str">
        <f t="shared" si="2"/>
        <v>Honduras_lose</v>
      </c>
      <c r="X16" s="66">
        <f t="shared" si="5"/>
        <v>0</v>
      </c>
      <c r="Y16" s="65">
        <f t="shared" si="6"/>
        <v>0</v>
      </c>
      <c r="Z16" s="65">
        <f t="shared" si="7"/>
        <v>0</v>
      </c>
      <c r="AB16" s="65">
        <f>COUNTIF(AO14:AO17,CONCATENATE("&gt;=",AO16))</f>
        <v>2</v>
      </c>
      <c r="AC16" s="66" t="str">
        <f>INDEX(T,69,lang)</f>
        <v>Chile</v>
      </c>
      <c r="AD16" s="65">
        <f>COUNTIF($V$7:$W$54,"=" &amp; AC16 &amp; "_win")</f>
        <v>2</v>
      </c>
      <c r="AE16" s="65">
        <f>COUNTIF($V$7:$W$54,"=" &amp; AC16 &amp; "_draw")</f>
        <v>0</v>
      </c>
      <c r="AF16" s="65">
        <f>COUNTIF($V$7:$W$54,"=" &amp; AC16 &amp; "_lose")</f>
        <v>1</v>
      </c>
      <c r="AG16" s="65">
        <f>SUMIF($E$7:$E$54,$AC16,$F$7:$F$54) + SUMIF($H$7:$H$54,$AC16,$G$7:$G$54)</f>
        <v>5</v>
      </c>
      <c r="AH16" s="65">
        <f>SUMIF($E$7:$E$54,$AC16,$G$7:$G$54) + SUMIF($H$7:$H$54,$AC16,$F$7:$F$54)</f>
        <v>3</v>
      </c>
      <c r="AI16" s="65">
        <f>(AG16-AH16)*100+AL16*10000+AG16</f>
        <v>60205</v>
      </c>
      <c r="AJ16" s="65">
        <f>AG16-AH16</f>
        <v>2</v>
      </c>
      <c r="AK16" s="65">
        <f>(AJ16-AJ19)/AJ18</f>
        <v>0.5714285714285714</v>
      </c>
      <c r="AL16" s="65">
        <f>AD16*3+AE16</f>
        <v>6</v>
      </c>
      <c r="AM16" s="65">
        <f>AQ16/AQ18*1000+AR16/AR18*100+AU16/AU18*10+AS16/AS18</f>
        <v>0</v>
      </c>
      <c r="AN16" s="65">
        <f>VLOOKUP(AC16,db_fifarank,2,FALSE)/2000000</f>
        <v>5.1849999999999997E-4</v>
      </c>
      <c r="AO16" s="66">
        <f>1000*AL16/AL18+100*AK16+10*AG16/AG18+1*AM16/AM18+AN16</f>
        <v>663.39337564285711</v>
      </c>
      <c r="AQ16" s="68">
        <f>SUMPRODUCT(($V$7:$V$54=AC16&amp;"_win")*($X$7:$X$54))+SUMPRODUCT(($W$7:$W$54=AC16&amp;"_win")*($X$7:$X$54))</f>
        <v>0</v>
      </c>
      <c r="AR16" s="69">
        <f>SUMPRODUCT(($V$7:$V$54=AC16&amp;"_draw")*($X$7:$X$54))+SUMPRODUCT(($W$7:$W$54=AC16&amp;"_draw")*($X$7:$X$54))</f>
        <v>0</v>
      </c>
      <c r="AS16" s="69">
        <f>SUMPRODUCT(($E$7:$E$54=AC16)*($X$7:$X$54)*($F$7:$F$54))+SUMPRODUCT(($H$7:$H$54=AC16)*($X$7:$X$54)*($G$7:$G$54))</f>
        <v>0</v>
      </c>
      <c r="AT16" s="69">
        <f>SUMPRODUCT(($E$7:$E$54=AC16)*($X$7:$X$54)*($G$7:$G$54))+SUMPRODUCT(($H$7:$H$54=AC16)*($X$7:$X$54)*($F$7:$F$54))</f>
        <v>0</v>
      </c>
      <c r="AU16" s="69">
        <f>AS16-AT16</f>
        <v>0</v>
      </c>
      <c r="AZ16" s="103"/>
      <c r="BA16" s="103"/>
      <c r="BB16" s="103"/>
      <c r="BC16" s="103"/>
      <c r="BD16" s="103"/>
      <c r="BE16" s="103"/>
      <c r="BF16" s="103"/>
      <c r="BG16" s="103"/>
      <c r="BH16" s="103"/>
      <c r="BI16" s="103"/>
      <c r="BJ16" s="104"/>
      <c r="BK16" s="103"/>
      <c r="BL16" s="125">
        <v>61</v>
      </c>
      <c r="BM16" s="110" t="str">
        <f>W69</f>
        <v>Brazil</v>
      </c>
      <c r="BN16" s="63">
        <v>1</v>
      </c>
      <c r="BO16" s="64"/>
      <c r="BP16" s="103"/>
      <c r="BQ16" s="108"/>
      <c r="BR16" s="103"/>
      <c r="BS16" s="103"/>
      <c r="BT16" s="103"/>
      <c r="BU16" s="103"/>
    </row>
    <row r="17" spans="1:73">
      <c r="A17" s="90">
        <v>11</v>
      </c>
      <c r="B17" s="91" t="str">
        <f t="shared" si="0"/>
        <v>Sun</v>
      </c>
      <c r="C17" s="92" t="str">
        <f t="shared" si="1"/>
        <v>Jun 15, 2014</v>
      </c>
      <c r="D17" s="93">
        <f t="shared" si="3"/>
        <v>0.625</v>
      </c>
      <c r="E17" s="94" t="str">
        <f>AC38</f>
        <v>Argentina</v>
      </c>
      <c r="F17" s="117">
        <v>2</v>
      </c>
      <c r="G17" s="118">
        <v>1</v>
      </c>
      <c r="H17" s="101" t="str">
        <f>AC39</f>
        <v>Bosnia-Herzegovina</v>
      </c>
      <c r="I17" s="130" t="str">
        <f>INDEX(T,112,lang)</f>
        <v>Rio De Janeiro</v>
      </c>
      <c r="J17" s="131"/>
      <c r="K17" s="132"/>
      <c r="M17" s="23" t="str">
        <f>VLOOKUP(3,AB14:AL17,2,FALSE)</f>
        <v>Spain</v>
      </c>
      <c r="N17" s="29">
        <f>O17+P17+Q17</f>
        <v>3</v>
      </c>
      <c r="O17" s="29">
        <f>VLOOKUP(3,AB14:AL17,3,FALSE)</f>
        <v>1</v>
      </c>
      <c r="P17" s="29">
        <f>VLOOKUP(3,AB14:AL17,4,FALSE)</f>
        <v>0</v>
      </c>
      <c r="Q17" s="29">
        <f>VLOOKUP(3,AB14:AL17,5,FALSE)</f>
        <v>2</v>
      </c>
      <c r="R17" s="29" t="str">
        <f>VLOOKUP(3,AB14:AL17,6,FALSE) &amp; " - " &amp; VLOOKUP(3,AB14:AL17,7,FALSE)</f>
        <v>4 - 7</v>
      </c>
      <c r="S17" s="30">
        <f>O17*3+P17</f>
        <v>3</v>
      </c>
      <c r="U17" s="65">
        <f>DATE(2014,6,15)+TIME(11,0,0)+gmt_delta</f>
        <v>41805.625</v>
      </c>
      <c r="V17" s="71" t="str">
        <f t="shared" si="4"/>
        <v>Argentina_win</v>
      </c>
      <c r="W17" s="71" t="str">
        <f t="shared" si="2"/>
        <v>Bosnia-Herzegovina_lose</v>
      </c>
      <c r="X17" s="66">
        <f t="shared" si="5"/>
        <v>0</v>
      </c>
      <c r="Y17" s="65">
        <f t="shared" si="6"/>
        <v>0</v>
      </c>
      <c r="Z17" s="65">
        <f t="shared" si="7"/>
        <v>0</v>
      </c>
      <c r="AB17" s="65">
        <f>COUNTIF(AO14:AO17,CONCATENATE("&gt;=",AO17))</f>
        <v>4</v>
      </c>
      <c r="AC17" s="66" t="str">
        <f>INDEX(T,51,lang)</f>
        <v>Australia</v>
      </c>
      <c r="AD17" s="65">
        <f>COUNTIF($V$7:$W$54,"=" &amp; AC17 &amp; "_win")</f>
        <v>0</v>
      </c>
      <c r="AE17" s="65">
        <f>COUNTIF($V$7:$W$54,"=" &amp; AC17 &amp; "_draw")</f>
        <v>0</v>
      </c>
      <c r="AF17" s="65">
        <f>COUNTIF($V$7:$W$54,"=" &amp; AC17 &amp; "_lose")</f>
        <v>3</v>
      </c>
      <c r="AG17" s="65">
        <f>SUMIF($E$7:$E$54,$AC17,$F$7:$F$54) + SUMIF($H$7:$H$54,$AC17,$G$7:$G$54)</f>
        <v>3</v>
      </c>
      <c r="AH17" s="65">
        <f>SUMIF($E$7:$E$54,$AC17,$G$7:$G$54) + SUMIF($H$7:$H$54,$AC17,$F$7:$F$54)</f>
        <v>9</v>
      </c>
      <c r="AI17" s="65">
        <f>(AG17-AH17)*100+AL17*10000+AG17</f>
        <v>-597</v>
      </c>
      <c r="AJ17" s="65">
        <f>AG17-AH17</f>
        <v>-6</v>
      </c>
      <c r="AK17" s="65">
        <f>(AJ17-AJ19)/AJ18</f>
        <v>0</v>
      </c>
      <c r="AL17" s="65">
        <f>AD17*3+AE17</f>
        <v>0</v>
      </c>
      <c r="AM17" s="65">
        <f>AQ17/AQ18*1000+AR17/AR18*100+AU17/AU18*10+AS17/AS18</f>
        <v>0</v>
      </c>
      <c r="AN17" s="65">
        <f>VLOOKUP(AC17,db_fifarank,2,FALSE)/2000000</f>
        <v>3.3649999999999999E-4</v>
      </c>
      <c r="AO17" s="66">
        <f>1000*AL17/AL18+100*AK17+10*AG17/AG18+1*AM17/AM18+AN17</f>
        <v>3.7503365</v>
      </c>
      <c r="AQ17" s="68">
        <f>SUMPRODUCT(($V$7:$V$54=AC17&amp;"_win")*($X$7:$X$54))+SUMPRODUCT(($W$7:$W$54=AC17&amp;"_win")*($X$7:$X$54))</f>
        <v>0</v>
      </c>
      <c r="AR17" s="69">
        <f>SUMPRODUCT(($V$7:$V$54=AC17&amp;"_draw")*($X$7:$X$54))+SUMPRODUCT(($W$7:$W$54=AC17&amp;"_draw")*($X$7:$X$54))</f>
        <v>0</v>
      </c>
      <c r="AS17" s="69">
        <f>SUMPRODUCT(($E$7:$E$54=AC17)*($X$7:$X$54)*($F$7:$F$54))+SUMPRODUCT(($H$7:$H$54=AC17)*($X$7:$X$54)*($G$7:$G$54))</f>
        <v>0</v>
      </c>
      <c r="AT17" s="69">
        <f>SUMPRODUCT(($E$7:$E$54=AC17)*($X$7:$X$54)*($G$7:$G$54))+SUMPRODUCT(($H$7:$H$54=AC17)*($X$7:$X$54)*($F$7:$F$54))</f>
        <v>0</v>
      </c>
      <c r="AU17" s="69">
        <f>AS17-AT17</f>
        <v>0</v>
      </c>
      <c r="AZ17" s="103" t="str">
        <f>INDEX(T,24+MONTH(U62),lang) &amp; " " &amp; DAY(U62) &amp; ", " &amp; YEAR(U62) &amp; "   " &amp; TEXT(TIME(HOUR(U62),MINUTE(U62),0),"hh:mm")</f>
        <v>Jun 30, 2014   09:00</v>
      </c>
      <c r="BA17" s="103"/>
      <c r="BB17" s="103"/>
      <c r="BC17" s="113" t="str">
        <f>INDEX(T,104,lang)</f>
        <v>Brasilia</v>
      </c>
      <c r="BD17" s="103"/>
      <c r="BE17" s="103"/>
      <c r="BF17" s="103"/>
      <c r="BG17" s="103"/>
      <c r="BH17" s="103"/>
      <c r="BI17" s="103"/>
      <c r="BJ17" s="104"/>
      <c r="BK17" s="105"/>
      <c r="BL17" s="126"/>
      <c r="BM17" s="111" t="str">
        <f>W70</f>
        <v>Germany</v>
      </c>
      <c r="BN17" s="61">
        <v>7</v>
      </c>
      <c r="BO17" s="62"/>
      <c r="BP17" s="106"/>
      <c r="BQ17" s="109"/>
      <c r="BR17" s="103"/>
      <c r="BS17" s="103"/>
      <c r="BT17" s="103"/>
      <c r="BU17" s="103"/>
    </row>
    <row r="18" spans="1:73">
      <c r="A18" s="90">
        <v>12</v>
      </c>
      <c r="B18" s="91" t="str">
        <f t="shared" si="0"/>
        <v>Mon</v>
      </c>
      <c r="C18" s="92" t="str">
        <f t="shared" si="1"/>
        <v>Jun 16, 2014</v>
      </c>
      <c r="D18" s="93">
        <f t="shared" si="3"/>
        <v>0.375</v>
      </c>
      <c r="E18" s="94" t="str">
        <f>AC44</f>
        <v>Germany</v>
      </c>
      <c r="F18" s="117">
        <v>4</v>
      </c>
      <c r="G18" s="118">
        <v>0</v>
      </c>
      <c r="H18" s="101" t="str">
        <f>AC45</f>
        <v>Portugal</v>
      </c>
      <c r="I18" s="130" t="str">
        <f>INDEX(T,113,lang)</f>
        <v>Salvador</v>
      </c>
      <c r="J18" s="131"/>
      <c r="K18" s="132"/>
      <c r="M18" s="24" t="str">
        <f>VLOOKUP(4,AB14:AL17,2,FALSE)</f>
        <v>Australia</v>
      </c>
      <c r="N18" s="31">
        <f>O18+P18+Q18</f>
        <v>3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3</v>
      </c>
      <c r="R18" s="31" t="str">
        <f>VLOOKUP(4,AB14:AL17,6,FALSE) &amp; " - " &amp; VLOOKUP(4,AB14:AL17,7,FALSE)</f>
        <v>3 - 9</v>
      </c>
      <c r="S18" s="32">
        <f>O18*3+P18</f>
        <v>0</v>
      </c>
      <c r="U18" s="65">
        <f>DATE(2014,6,16)+TIME(5,0,0)+gmt_delta</f>
        <v>41806.375</v>
      </c>
      <c r="V18" s="71" t="str">
        <f t="shared" si="4"/>
        <v>Germany_win</v>
      </c>
      <c r="W18" s="71" t="str">
        <f t="shared" si="2"/>
        <v>Portugal_lose</v>
      </c>
      <c r="X18" s="66">
        <f t="shared" si="5"/>
        <v>0</v>
      </c>
      <c r="Y18" s="65">
        <f t="shared" si="6"/>
        <v>0</v>
      </c>
      <c r="Z18" s="65">
        <f t="shared" si="7"/>
        <v>0</v>
      </c>
      <c r="AD18" s="65">
        <f t="shared" ref="AD18:AM18" si="9">MAX(AD14:AD17)-MIN(AD14:AD17)+1</f>
        <v>4</v>
      </c>
      <c r="AE18" s="65">
        <f t="shared" si="9"/>
        <v>1</v>
      </c>
      <c r="AF18" s="65">
        <f t="shared" si="9"/>
        <v>4</v>
      </c>
      <c r="AG18" s="65">
        <f t="shared" si="9"/>
        <v>8</v>
      </c>
      <c r="AH18" s="65">
        <f t="shared" si="9"/>
        <v>7</v>
      </c>
      <c r="AI18" s="65">
        <f>MAX(AI14:AI17)-AI19+1</f>
        <v>91308</v>
      </c>
      <c r="AJ18" s="65">
        <f>MAX(AJ14:AJ17)-AJ19+1</f>
        <v>14</v>
      </c>
      <c r="AL18" s="65">
        <f t="shared" si="9"/>
        <v>10</v>
      </c>
      <c r="AM18" s="65">
        <f t="shared" si="9"/>
        <v>1</v>
      </c>
      <c r="AQ18" s="65">
        <f>MAX(AQ14:AQ17)-MIN(AQ14:AQ17)+1</f>
        <v>1</v>
      </c>
      <c r="AR18" s="65">
        <f>MAX(AR14:AR17)-MIN(AR14:AR17)+1</f>
        <v>1</v>
      </c>
      <c r="AS18" s="65">
        <f>MAX(AS14:AS17)-MIN(AS14:AS17)+1</f>
        <v>1</v>
      </c>
      <c r="AT18" s="65">
        <f>MAX(AT14:AT17)-MIN(AT14:AT17)+1</f>
        <v>1</v>
      </c>
      <c r="AU18" s="65">
        <f>MAX(AU14:AU17)-MIN(AU14:AU17)+1</f>
        <v>1</v>
      </c>
      <c r="AZ18" s="125">
        <v>53</v>
      </c>
      <c r="BA18" s="110" t="str">
        <f>AP32</f>
        <v>France</v>
      </c>
      <c r="BB18" s="63">
        <v>2</v>
      </c>
      <c r="BC18" s="64"/>
      <c r="BD18" s="103"/>
      <c r="BE18" s="103"/>
      <c r="BF18" s="103"/>
      <c r="BG18" s="103"/>
      <c r="BH18" s="103"/>
      <c r="BI18" s="103"/>
      <c r="BJ18" s="104"/>
      <c r="BK18" s="103"/>
      <c r="BL18" s="103"/>
      <c r="BM18" s="103"/>
      <c r="BN18" s="103"/>
      <c r="BO18" s="103"/>
      <c r="BP18" s="104"/>
      <c r="BQ18" s="103"/>
      <c r="BR18" s="103"/>
      <c r="BS18" s="103"/>
      <c r="BT18" s="103"/>
      <c r="BU18" s="103"/>
    </row>
    <row r="19" spans="1:73">
      <c r="A19" s="90">
        <v>13</v>
      </c>
      <c r="B19" s="91" t="str">
        <f t="shared" si="0"/>
        <v>Mon</v>
      </c>
      <c r="C19" s="92" t="str">
        <f t="shared" si="1"/>
        <v>Jun 16, 2014</v>
      </c>
      <c r="D19" s="93">
        <f t="shared" si="3"/>
        <v>0.5</v>
      </c>
      <c r="E19" s="94" t="str">
        <f>AC40</f>
        <v>Iran</v>
      </c>
      <c r="F19" s="117">
        <v>0</v>
      </c>
      <c r="G19" s="118">
        <v>0</v>
      </c>
      <c r="H19" s="101" t="str">
        <f>AC41</f>
        <v>Nigeria</v>
      </c>
      <c r="I19" s="130" t="str">
        <f>INDEX(T,106,lang)</f>
        <v>Curitiba</v>
      </c>
      <c r="J19" s="131"/>
      <c r="K19" s="132"/>
      <c r="M19" s="33"/>
      <c r="N19" s="34"/>
      <c r="O19" s="34"/>
      <c r="P19" s="34"/>
      <c r="Q19" s="34"/>
      <c r="R19" s="34"/>
      <c r="S19" s="34"/>
      <c r="U19" s="65">
        <f>DATE(2014,6,16)+TIME(8,0,0)+gmt_delta</f>
        <v>41806.5</v>
      </c>
      <c r="V19" s="71" t="str">
        <f t="shared" si="4"/>
        <v>Iran_draw</v>
      </c>
      <c r="W19" s="71" t="str">
        <f t="shared" si="2"/>
        <v>Nigeria_draw</v>
      </c>
      <c r="X19" s="66">
        <f t="shared" si="5"/>
        <v>0</v>
      </c>
      <c r="Y19" s="65">
        <f t="shared" si="6"/>
        <v>0</v>
      </c>
      <c r="Z19" s="65">
        <f t="shared" si="7"/>
        <v>0</v>
      </c>
      <c r="AI19" s="65">
        <f>MIN(AI14:AI17)</f>
        <v>-597</v>
      </c>
      <c r="AJ19" s="65">
        <f>MIN(AJ14:AJ17)</f>
        <v>-6</v>
      </c>
      <c r="AZ19" s="126"/>
      <c r="BA19" s="111" t="str">
        <f>AP39</f>
        <v>Nigeria</v>
      </c>
      <c r="BB19" s="61">
        <v>0</v>
      </c>
      <c r="BC19" s="62"/>
      <c r="BD19" s="106"/>
      <c r="BE19" s="103"/>
      <c r="BF19" s="103" t="str">
        <f>INDEX(T,24+MONTH(U70),lang) &amp; " " &amp; DAY(U70) &amp; ", " &amp; YEAR(U70) &amp; "   " &amp; TEXT(TIME(HOUR(U70),MINUTE(U70),0),"hh:mm")</f>
        <v>Jul 4, 2014   09:00</v>
      </c>
      <c r="BG19" s="103"/>
      <c r="BH19" s="103"/>
      <c r="BI19" s="113" t="str">
        <f>INDEX(T,112,lang)</f>
        <v>Rio De Janeiro</v>
      </c>
      <c r="BJ19" s="104"/>
      <c r="BK19" s="103"/>
      <c r="BL19" s="103"/>
      <c r="BM19" s="103"/>
      <c r="BN19" s="103"/>
      <c r="BO19" s="103"/>
      <c r="BP19" s="104"/>
      <c r="BQ19" s="103"/>
      <c r="BR19" s="103"/>
      <c r="BS19" s="103"/>
      <c r="BT19" s="103"/>
      <c r="BU19" s="103"/>
    </row>
    <row r="20" spans="1:73">
      <c r="A20" s="90">
        <v>14</v>
      </c>
      <c r="B20" s="91" t="str">
        <f t="shared" si="0"/>
        <v>Mon</v>
      </c>
      <c r="C20" s="92" t="str">
        <f t="shared" si="1"/>
        <v>Jun 16, 2014</v>
      </c>
      <c r="D20" s="93">
        <f t="shared" si="3"/>
        <v>0.625</v>
      </c>
      <c r="E20" s="94" t="str">
        <f>AC46</f>
        <v>Ghana</v>
      </c>
      <c r="F20" s="117">
        <v>1</v>
      </c>
      <c r="G20" s="118">
        <v>2</v>
      </c>
      <c r="H20" s="101" t="str">
        <f>AC47</f>
        <v>USA</v>
      </c>
      <c r="I20" s="130" t="str">
        <f>INDEX(T,109,lang)</f>
        <v>Natal</v>
      </c>
      <c r="J20" s="131"/>
      <c r="K20" s="132"/>
      <c r="M20" s="57" t="str">
        <f>INDEX(T,9,lang) &amp; " " &amp; "C"</f>
        <v>Group C</v>
      </c>
      <c r="N20" s="58" t="str">
        <f>INDEX(T,10,lang)</f>
        <v>PL</v>
      </c>
      <c r="O20" s="58" t="str">
        <f>INDEX(T,11,lang)</f>
        <v>W</v>
      </c>
      <c r="P20" s="58" t="str">
        <f>INDEX(T,12,lang)</f>
        <v>DRAW</v>
      </c>
      <c r="Q20" s="58" t="str">
        <f>INDEX(T,13,lang)</f>
        <v>L</v>
      </c>
      <c r="R20" s="58" t="str">
        <f>INDEX(T,14,lang)</f>
        <v>GF - GA</v>
      </c>
      <c r="S20" s="58" t="str">
        <f>INDEX(T,15,lang)</f>
        <v>PNT</v>
      </c>
      <c r="U20" s="65">
        <f>DATE(2014,6,16)+TIME(11,0,0)+gmt_delta</f>
        <v>41806.625</v>
      </c>
      <c r="V20" s="71" t="str">
        <f t="shared" si="4"/>
        <v>Ghana_lose</v>
      </c>
      <c r="W20" s="71" t="str">
        <f t="shared" si="2"/>
        <v>USA_win</v>
      </c>
      <c r="X20" s="66">
        <f t="shared" si="5"/>
        <v>0</v>
      </c>
      <c r="Y20" s="65">
        <f t="shared" si="6"/>
        <v>0</v>
      </c>
      <c r="Z20" s="65">
        <f t="shared" si="7"/>
        <v>0</v>
      </c>
      <c r="AB20" s="65">
        <f>COUNTIF(AO20:AO23,CONCATENATE("&gt;=",AO20))</f>
        <v>1</v>
      </c>
      <c r="AC20" s="66" t="str">
        <f>INDEX(T,52,lang)</f>
        <v>Colombia</v>
      </c>
      <c r="AD20" s="65">
        <f>COUNTIF($V$7:$W$54,"=" &amp; AC20 &amp; "_win")</f>
        <v>3</v>
      </c>
      <c r="AE20" s="65">
        <f>COUNTIF($V$7:$W$54,"=" &amp; AC20 &amp; "_draw")</f>
        <v>0</v>
      </c>
      <c r="AF20" s="65">
        <f>COUNTIF($V$7:$W$54,"=" &amp; AC20 &amp; "_lose")</f>
        <v>0</v>
      </c>
      <c r="AG20" s="65">
        <f>SUMIF($E$7:$E$54,$AC20,$F$7:$F$54) + SUMIF($H$7:$H$54,$AC20,$G$7:$G$54)</f>
        <v>9</v>
      </c>
      <c r="AH20" s="65">
        <f>SUMIF($E$7:$E$54,$AC20,$G$7:$G$54) + SUMIF($H$7:$H$54,$AC20,$F$7:$F$54)</f>
        <v>3</v>
      </c>
      <c r="AI20" s="65">
        <f>(AG20-AH20)*100+AL20*10000+AG20</f>
        <v>90609</v>
      </c>
      <c r="AJ20" s="65">
        <f>AG20-AH20</f>
        <v>6</v>
      </c>
      <c r="AK20" s="65">
        <f>(AJ20-AJ25)/AJ24</f>
        <v>0.90909090909090906</v>
      </c>
      <c r="AL20" s="65">
        <f>AD20*3+AE20</f>
        <v>9</v>
      </c>
      <c r="AM20" s="65">
        <f>AQ20/AQ24*1000+AR20/AR24*100+AU20/AU24*10+AS20/AS24</f>
        <v>0</v>
      </c>
      <c r="AN20" s="65">
        <f>VLOOKUP(AC20,db_fifarank,2,FALSE)/2000000</f>
        <v>5.9299999999999999E-4</v>
      </c>
      <c r="AO20" s="66">
        <f>1000*AL20/AL24+100*AK20+10*AG20/AG24+1*AM20/AM24+AN20</f>
        <v>1102.159683909091</v>
      </c>
      <c r="AP20" s="67" t="str">
        <f>IF(SUM(AD20:AF23)=12,M21,INDEX(T,74,lang))</f>
        <v>Colombia</v>
      </c>
      <c r="AQ20" s="68">
        <f>SUMPRODUCT(($V$7:$V$54=AC20&amp;"_win")*($X$7:$X$54))+SUMPRODUCT(($W$7:$W$54=AC20&amp;"_win")*($X$7:$X$54))</f>
        <v>0</v>
      </c>
      <c r="AR20" s="69">
        <f>SUMPRODUCT(($V$7:$V$54=AC20&amp;"_draw")*($X$7:$X$54))+SUMPRODUCT(($W$7:$W$54=AC20&amp;"_draw")*($X$7:$X$54))</f>
        <v>0</v>
      </c>
      <c r="AS20" s="69">
        <f>SUMPRODUCT(($E$7:$E$54=AC20)*($X$7:$X$54)*($F$7:$F$54))+SUMPRODUCT(($H$7:$H$54=AC20)*($X$7:$X$54)*($G$7:$G$54))</f>
        <v>0</v>
      </c>
      <c r="AT20" s="69">
        <f>SUMPRODUCT(($E$7:$E$54=AC20)*($X$7:$X$54)*($G$7:$G$54))+SUMPRODUCT(($H$7:$H$54=AC20)*($X$7:$X$54)*($F$7:$F$54))</f>
        <v>0</v>
      </c>
      <c r="AU20" s="69">
        <f>AS20-AT20</f>
        <v>0</v>
      </c>
      <c r="AZ20" s="103"/>
      <c r="BA20" s="103"/>
      <c r="BB20" s="103"/>
      <c r="BC20" s="103"/>
      <c r="BD20" s="104"/>
      <c r="BE20" s="103"/>
      <c r="BF20" s="125">
        <v>58</v>
      </c>
      <c r="BG20" s="110" t="str">
        <f>W62</f>
        <v>France</v>
      </c>
      <c r="BH20" s="63">
        <v>0</v>
      </c>
      <c r="BI20" s="64"/>
      <c r="BJ20" s="107"/>
      <c r="BK20" s="103"/>
      <c r="BL20" s="103"/>
      <c r="BM20" s="103"/>
      <c r="BN20" s="103"/>
      <c r="BO20" s="103"/>
      <c r="BP20" s="104"/>
      <c r="BQ20" s="103"/>
      <c r="BR20" s="103"/>
      <c r="BS20" s="103"/>
      <c r="BT20" s="103"/>
      <c r="BU20" s="103"/>
    </row>
    <row r="21" spans="1:73">
      <c r="A21" s="90">
        <v>15</v>
      </c>
      <c r="B21" s="91" t="str">
        <f t="shared" si="0"/>
        <v>Tue</v>
      </c>
      <c r="C21" s="92" t="str">
        <f t="shared" si="1"/>
        <v>Jun 17, 2014</v>
      </c>
      <c r="D21" s="93">
        <f t="shared" si="3"/>
        <v>0.375</v>
      </c>
      <c r="E21" s="94" t="str">
        <f>AC50</f>
        <v>Belgium</v>
      </c>
      <c r="F21" s="117">
        <v>2</v>
      </c>
      <c r="G21" s="118">
        <v>1</v>
      </c>
      <c r="H21" s="101" t="str">
        <f>AC51</f>
        <v>Algeria</v>
      </c>
      <c r="I21" s="130" t="str">
        <f>INDEX(T,103,lang)</f>
        <v>Belo Horizonte</v>
      </c>
      <c r="J21" s="131"/>
      <c r="K21" s="132"/>
      <c r="M21" s="22" t="str">
        <f>VLOOKUP(1,AB20:AL23,2,FALSE)</f>
        <v>Colombia</v>
      </c>
      <c r="N21" s="27">
        <f>O21+P21+Q21</f>
        <v>3</v>
      </c>
      <c r="O21" s="27">
        <f>VLOOKUP(1,AB20:AL23,3,FALSE)</f>
        <v>3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9 - 3</v>
      </c>
      <c r="S21" s="28">
        <f>O21*3+P21</f>
        <v>9</v>
      </c>
      <c r="U21" s="65">
        <f>DATE(2014,6,17)+TIME(5,0,0)+gmt_delta</f>
        <v>41807.375</v>
      </c>
      <c r="V21" s="71" t="str">
        <f t="shared" si="4"/>
        <v>Belgium_win</v>
      </c>
      <c r="W21" s="71" t="str">
        <f t="shared" si="2"/>
        <v>Algeria_lose</v>
      </c>
      <c r="X21" s="66">
        <f t="shared" si="5"/>
        <v>0</v>
      </c>
      <c r="Y21" s="65">
        <f t="shared" si="6"/>
        <v>0</v>
      </c>
      <c r="Z21" s="65">
        <f t="shared" si="7"/>
        <v>0</v>
      </c>
      <c r="AB21" s="65">
        <f>COUNTIF(AO20:AO23,CONCATENATE("&gt;=",AO21))</f>
        <v>2</v>
      </c>
      <c r="AC21" s="66" t="str">
        <f>INDEX(T,45,lang)</f>
        <v>Greece</v>
      </c>
      <c r="AD21" s="65">
        <f>COUNTIF($V$7:$W$54,"=" &amp; AC21 &amp; "_win")</f>
        <v>1</v>
      </c>
      <c r="AE21" s="65">
        <f>COUNTIF($V$7:$W$54,"=" &amp; AC21 &amp; "_draw")</f>
        <v>1</v>
      </c>
      <c r="AF21" s="65">
        <f>COUNTIF($V$7:$W$54,"=" &amp; AC21 &amp; "_lose")</f>
        <v>1</v>
      </c>
      <c r="AG21" s="65">
        <f>SUMIF($E$7:$E$54,$AC21,$F$7:$F$54) + SUMIF($H$7:$H$54,$AC21,$G$7:$G$54)</f>
        <v>3</v>
      </c>
      <c r="AH21" s="65">
        <f>SUMIF($E$7:$E$54,$AC21,$G$7:$G$54) + SUMIF($H$7:$H$54,$AC21,$F$7:$F$54)</f>
        <v>4</v>
      </c>
      <c r="AI21" s="65">
        <f>(AG21-AH21)*100+AL21*10000+AG21</f>
        <v>39903</v>
      </c>
      <c r="AJ21" s="65">
        <f>AG21-AH21</f>
        <v>-1</v>
      </c>
      <c r="AK21" s="65">
        <f>(AJ21-AJ25)/AJ24</f>
        <v>0.27272727272727271</v>
      </c>
      <c r="AL21" s="65">
        <f>AD21*3+AE21</f>
        <v>4</v>
      </c>
      <c r="AM21" s="65">
        <f>AQ21/AQ24*1000+AR21/AR24*100+AU21/AU24*10+AS21/AS24</f>
        <v>0</v>
      </c>
      <c r="AN21" s="65">
        <f>VLOOKUP(AC21,db_fifarank,2,FALSE)/2000000</f>
        <v>5.4100000000000003E-4</v>
      </c>
      <c r="AO21" s="66">
        <f>1000*AL21/AL24+100*AK21+10*AG21/AG24+1*AM21/AM24+AN21</f>
        <v>475.46771271717171</v>
      </c>
      <c r="AP21" s="67" t="str">
        <f>IF(SUM(AD20:AF23)=12,M22,INDEX(T,75,lang))</f>
        <v>Greece</v>
      </c>
      <c r="AQ21" s="68">
        <f>SUMPRODUCT(($V$7:$V$54=AC21&amp;"_win")*($X$7:$X$54))+SUMPRODUCT(($W$7:$W$54=AC21&amp;"_win")*($X$7:$X$54))</f>
        <v>0</v>
      </c>
      <c r="AR21" s="69">
        <f>SUMPRODUCT(($V$7:$V$54=AC21&amp;"_draw")*($X$7:$X$54))+SUMPRODUCT(($W$7:$W$54=AC21&amp;"_draw")*($X$7:$X$54))</f>
        <v>0</v>
      </c>
      <c r="AS21" s="69">
        <f>SUMPRODUCT(($E$7:$E$54=AC21)*($X$7:$X$54)*($F$7:$F$54))+SUMPRODUCT(($H$7:$H$54=AC21)*($X$7:$X$54)*($G$7:$G$54))</f>
        <v>0</v>
      </c>
      <c r="AT21" s="69">
        <f>SUMPRODUCT(($E$7:$E$54=AC21)*($X$7:$X$54)*($G$7:$G$54))+SUMPRODUCT(($H$7:$H$54=AC21)*($X$7:$X$54)*($F$7:$F$54))</f>
        <v>0</v>
      </c>
      <c r="AU21" s="69">
        <f>AS21-AT21</f>
        <v>0</v>
      </c>
      <c r="AZ21" s="103" t="str">
        <f>INDEX(T,24+MONTH(U63),lang) &amp; " " &amp; DAY(U63) &amp; ", " &amp; YEAR(U63) &amp; "   " &amp; TEXT(TIME(HOUR(U63),MINUTE(U63),0),"hh:mm")</f>
        <v>Jun 30, 2014   13:00</v>
      </c>
      <c r="BA21" s="103"/>
      <c r="BB21" s="103"/>
      <c r="BC21" s="113" t="str">
        <f>INDEX(T,110,lang)</f>
        <v>Porto Alegre</v>
      </c>
      <c r="BD21" s="104"/>
      <c r="BE21" s="105"/>
      <c r="BF21" s="126"/>
      <c r="BG21" s="111" t="str">
        <f>W63</f>
        <v>Germany</v>
      </c>
      <c r="BH21" s="61">
        <v>1</v>
      </c>
      <c r="BI21" s="62"/>
      <c r="BJ21" s="103"/>
      <c r="BK21" s="103"/>
      <c r="BL21" s="103"/>
      <c r="BM21" s="103"/>
      <c r="BN21" s="103"/>
      <c r="BO21" s="103"/>
      <c r="BP21" s="104"/>
      <c r="BQ21" s="103"/>
      <c r="BR21" s="103"/>
      <c r="BS21" s="103"/>
      <c r="BT21" s="103"/>
      <c r="BU21" s="103"/>
    </row>
    <row r="22" spans="1:73">
      <c r="A22" s="90">
        <v>16</v>
      </c>
      <c r="B22" s="91" t="str">
        <f t="shared" si="0"/>
        <v>Tue</v>
      </c>
      <c r="C22" s="92" t="str">
        <f t="shared" si="1"/>
        <v>Jun 17, 2014</v>
      </c>
      <c r="D22" s="93">
        <f t="shared" si="3"/>
        <v>0.5</v>
      </c>
      <c r="E22" s="94" t="str">
        <f>AC8</f>
        <v>Brazil</v>
      </c>
      <c r="F22" s="117">
        <v>0</v>
      </c>
      <c r="G22" s="118">
        <v>0</v>
      </c>
      <c r="H22" s="101" t="str">
        <f>AC10</f>
        <v>Mexico</v>
      </c>
      <c r="I22" s="130" t="str">
        <f>INDEX(T,107,lang)</f>
        <v>Fortaleza</v>
      </c>
      <c r="J22" s="131"/>
      <c r="K22" s="132"/>
      <c r="M22" s="23" t="str">
        <f>VLOOKUP(2,AB20:AL23,2,FALSE)</f>
        <v>Greece</v>
      </c>
      <c r="N22" s="29">
        <f>O22+P22+Q22</f>
        <v>3</v>
      </c>
      <c r="O22" s="29">
        <f>VLOOKUP(2,AB20:AL23,3,FALSE)</f>
        <v>1</v>
      </c>
      <c r="P22" s="29">
        <f>VLOOKUP(2,AB20:AL23,4,FALSE)</f>
        <v>1</v>
      </c>
      <c r="Q22" s="29">
        <f>VLOOKUP(2,AB20:AL23,5,FALSE)</f>
        <v>1</v>
      </c>
      <c r="R22" s="29" t="str">
        <f>VLOOKUP(2,AB20:AL23,6,FALSE) &amp; " - " &amp; VLOOKUP(2,AB20:AL23,7,FALSE)</f>
        <v>3 - 4</v>
      </c>
      <c r="S22" s="30">
        <f>O22*3+P22</f>
        <v>4</v>
      </c>
      <c r="U22" s="65">
        <f>DATE(2014,6,17)+TIME(8,0,0)+gmt_delta</f>
        <v>41807.5</v>
      </c>
      <c r="V22" s="71" t="str">
        <f t="shared" si="4"/>
        <v>Brazil_draw</v>
      </c>
      <c r="W22" s="71" t="str">
        <f t="shared" si="2"/>
        <v>Mexico_draw</v>
      </c>
      <c r="X22" s="66">
        <f t="shared" si="5"/>
        <v>1</v>
      </c>
      <c r="Y22" s="65">
        <f t="shared" si="6"/>
        <v>0</v>
      </c>
      <c r="Z22" s="65">
        <f t="shared" si="7"/>
        <v>0</v>
      </c>
      <c r="AB22" s="65">
        <f>COUNTIF(AO20:AO23,CONCATENATE("&gt;=",AO22))</f>
        <v>3</v>
      </c>
      <c r="AC22" s="66" t="str">
        <f>INDEX(T,64,lang)</f>
        <v>Côte d'Ivoire</v>
      </c>
      <c r="AD22" s="65">
        <f>COUNTIF($V$7:$W$54,"=" &amp; AC22 &amp; "_win")</f>
        <v>1</v>
      </c>
      <c r="AE22" s="65">
        <f>COUNTIF($V$7:$W$54,"=" &amp; AC22 &amp; "_draw")</f>
        <v>0</v>
      </c>
      <c r="AF22" s="65">
        <f>COUNTIF($V$7:$W$54,"=" &amp; AC22 &amp; "_lose")</f>
        <v>2</v>
      </c>
      <c r="AG22" s="65">
        <f>SUMIF($E$7:$E$54,$AC22,$F$7:$F$54) + SUMIF($H$7:$H$54,$AC22,$G$7:$G$54)</f>
        <v>4</v>
      </c>
      <c r="AH22" s="65">
        <f>SUMIF($E$7:$E$54,$AC22,$G$7:$G$54) + SUMIF($H$7:$H$54,$AC22,$F$7:$F$54)</f>
        <v>5</v>
      </c>
      <c r="AI22" s="65">
        <f>(AG22-AH22)*100+AL22*10000+AG22</f>
        <v>29904</v>
      </c>
      <c r="AJ22" s="65">
        <f>AG22-AH22</f>
        <v>-1</v>
      </c>
      <c r="AK22" s="65">
        <f>(AJ22-AJ25)/AJ24</f>
        <v>0.27272727272727271</v>
      </c>
      <c r="AL22" s="65">
        <f>AD22*3+AE22</f>
        <v>3</v>
      </c>
      <c r="AM22" s="65">
        <f>AQ22/AQ24*1000+AR22/AR24*100+AU22/AU24*10+AS22/AS24</f>
        <v>0</v>
      </c>
      <c r="AN22" s="65">
        <f>VLOOKUP(AC22,db_fifarank,2,FALSE)/2000000</f>
        <v>4.15E-4</v>
      </c>
      <c r="AO22" s="66">
        <f>1000*AL22/AL24+100*AK22+10*AG22/AG24+1*AM22/AM24+AN22</f>
        <v>365.60647560606054</v>
      </c>
      <c r="AQ22" s="68">
        <f>SUMPRODUCT(($V$7:$V$54=AC22&amp;"_win")*($X$7:$X$54))+SUMPRODUCT(($W$7:$W$54=AC22&amp;"_win")*($X$7:$X$54))</f>
        <v>0</v>
      </c>
      <c r="AR22" s="69">
        <f>SUMPRODUCT(($V$7:$V$54=AC22&amp;"_draw")*($X$7:$X$54))+SUMPRODUCT(($W$7:$W$54=AC22&amp;"_draw")*($X$7:$X$54))</f>
        <v>0</v>
      </c>
      <c r="AS22" s="69">
        <f>SUMPRODUCT(($E$7:$E$54=AC22)*($X$7:$X$54)*($F$7:$F$54))+SUMPRODUCT(($H$7:$H$54=AC22)*($X$7:$X$54)*($G$7:$G$54))</f>
        <v>0</v>
      </c>
      <c r="AT22" s="69">
        <f>SUMPRODUCT(($E$7:$E$54=AC22)*($X$7:$X$54)*($G$7:$G$54))+SUMPRODUCT(($H$7:$H$54=AC22)*($X$7:$X$54)*($F$7:$F$54))</f>
        <v>0</v>
      </c>
      <c r="AU22" s="69">
        <f>AS22-AT22</f>
        <v>0</v>
      </c>
      <c r="AZ22" s="125">
        <v>54</v>
      </c>
      <c r="BA22" s="110" t="str">
        <f>AP44</f>
        <v>Germany</v>
      </c>
      <c r="BB22" s="63">
        <v>2</v>
      </c>
      <c r="BC22" s="64"/>
      <c r="BD22" s="107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4"/>
      <c r="BQ22" s="103"/>
      <c r="BR22" s="103" t="str">
        <f>INDEX(T,24+MONTH(U85),lang) &amp; " " &amp; DAY(U85) &amp; ", " &amp; YEAR(U85) &amp; "   " &amp; TEXT(TIME(HOUR(U85),MINUTE(U85),0),"hh:mm")</f>
        <v>Jul 13, 2014   12:00</v>
      </c>
      <c r="BS22" s="103"/>
      <c r="BT22" s="103"/>
      <c r="BU22" s="113" t="str">
        <f>INDEX(T,112,lang)</f>
        <v>Rio De Janeiro</v>
      </c>
    </row>
    <row r="23" spans="1:73">
      <c r="A23" s="90">
        <v>17</v>
      </c>
      <c r="B23" s="91" t="str">
        <f t="shared" si="0"/>
        <v>Tue</v>
      </c>
      <c r="C23" s="92" t="str">
        <f t="shared" si="1"/>
        <v>Jun 17, 2014</v>
      </c>
      <c r="D23" s="93">
        <f t="shared" si="3"/>
        <v>0.625</v>
      </c>
      <c r="E23" s="94" t="str">
        <f>AC52</f>
        <v>Russia</v>
      </c>
      <c r="F23" s="59">
        <v>1</v>
      </c>
      <c r="G23" s="60">
        <v>1</v>
      </c>
      <c r="H23" s="101" t="str">
        <f>AC53</f>
        <v>Korea Republic</v>
      </c>
      <c r="I23" s="130" t="str">
        <f>INDEX(T,105,lang)</f>
        <v>Cuiaba</v>
      </c>
      <c r="J23" s="131"/>
      <c r="K23" s="132"/>
      <c r="M23" s="23" t="str">
        <f>VLOOKUP(3,AB20:AL23,2,FALSE)</f>
        <v>Côte d'Ivoire</v>
      </c>
      <c r="N23" s="29">
        <f>O23+P23+Q23</f>
        <v>3</v>
      </c>
      <c r="O23" s="29">
        <f>VLOOKUP(3,AB20:AL23,3,FALSE)</f>
        <v>1</v>
      </c>
      <c r="P23" s="29">
        <f>VLOOKUP(3,AB20:AL23,4,FALSE)</f>
        <v>0</v>
      </c>
      <c r="Q23" s="29">
        <f>VLOOKUP(3,AB20:AL23,5,FALSE)</f>
        <v>2</v>
      </c>
      <c r="R23" s="29" t="str">
        <f>VLOOKUP(3,AB20:AL23,6,FALSE) &amp; " - " &amp; VLOOKUP(3,AB20:AL23,7,FALSE)</f>
        <v>4 - 5</v>
      </c>
      <c r="S23" s="30">
        <f>O23*3+P23</f>
        <v>3</v>
      </c>
      <c r="U23" s="65">
        <f>DATE(2014,6,17)+TIME(11,0,0)+gmt_delta</f>
        <v>41807.625</v>
      </c>
      <c r="V23" s="71" t="str">
        <f t="shared" si="4"/>
        <v>Russia_draw</v>
      </c>
      <c r="W23" s="71" t="str">
        <f t="shared" si="2"/>
        <v>Korea Republic_draw</v>
      </c>
      <c r="X23" s="66">
        <f t="shared" si="5"/>
        <v>0</v>
      </c>
      <c r="Y23" s="65">
        <f t="shared" si="6"/>
        <v>0</v>
      </c>
      <c r="Z23" s="65">
        <f t="shared" si="7"/>
        <v>0</v>
      </c>
      <c r="AB23" s="65">
        <f>COUNTIF(AO20:AO23,CONCATENATE("&gt;=",AO23))</f>
        <v>4</v>
      </c>
      <c r="AC23" s="66" t="str">
        <f>INDEX(T,56,lang)</f>
        <v>Japan</v>
      </c>
      <c r="AD23" s="65">
        <f>COUNTIF($V$7:$W$54,"=" &amp; AC23 &amp; "_win")</f>
        <v>0</v>
      </c>
      <c r="AE23" s="65">
        <f>COUNTIF($V$7:$W$54,"=" &amp; AC23 &amp; "_draw")</f>
        <v>1</v>
      </c>
      <c r="AF23" s="65">
        <f>COUNTIF($V$7:$W$54,"=" &amp; AC23 &amp; "_lose")</f>
        <v>2</v>
      </c>
      <c r="AG23" s="65">
        <f>SUMIF($E$7:$E$54,$AC23,$F$7:$F$54) + SUMIF($H$7:$H$54,$AC23,$G$7:$G$54)</f>
        <v>2</v>
      </c>
      <c r="AH23" s="65">
        <f>SUMIF($E$7:$E$54,$AC23,$G$7:$G$54) + SUMIF($H$7:$H$54,$AC23,$F$7:$F$54)</f>
        <v>6</v>
      </c>
      <c r="AI23" s="65">
        <f>(AG23-AH23)*100+AL23*10000+AG23</f>
        <v>9602</v>
      </c>
      <c r="AJ23" s="65">
        <f>AG23-AH23</f>
        <v>-4</v>
      </c>
      <c r="AK23" s="65">
        <f>(AJ23-AJ25)/AJ24</f>
        <v>0</v>
      </c>
      <c r="AL23" s="65">
        <f>AD23*3+AE23</f>
        <v>1</v>
      </c>
      <c r="AM23" s="65">
        <f>AQ23/AQ24*1000+AR23/AR24*100+AU23/AU24*10+AS23/AS24</f>
        <v>0</v>
      </c>
      <c r="AN23" s="65">
        <f>VLOOKUP(AC23,db_fifarank,2,FALSE)/2000000</f>
        <v>3.0650000000000002E-4</v>
      </c>
      <c r="AO23" s="66">
        <f>1000*AL23/AL24+100*AK23+10*AG23/AG24+1*AM23/AM24+AN23</f>
        <v>113.61141761111111</v>
      </c>
      <c r="AQ23" s="68">
        <f>SUMPRODUCT(($V$7:$V$54=AC23&amp;"_win")*($X$7:$X$54))+SUMPRODUCT(($W$7:$W$54=AC23&amp;"_win")*($X$7:$X$54))</f>
        <v>0</v>
      </c>
      <c r="AR23" s="69">
        <f>SUMPRODUCT(($V$7:$V$54=AC23&amp;"_draw")*($X$7:$X$54))+SUMPRODUCT(($W$7:$W$54=AC23&amp;"_draw")*($X$7:$X$54))</f>
        <v>0</v>
      </c>
      <c r="AS23" s="69">
        <f>SUMPRODUCT(($E$7:$E$54=AC23)*($X$7:$X$54)*($F$7:$F$54))+SUMPRODUCT(($H$7:$H$54=AC23)*($X$7:$X$54)*($G$7:$G$54))</f>
        <v>0</v>
      </c>
      <c r="AT23" s="69">
        <f>SUMPRODUCT(($E$7:$E$54=AC23)*($X$7:$X$54)*($G$7:$G$54))+SUMPRODUCT(($H$7:$H$54=AC23)*($X$7:$X$54)*($F$7:$F$54))</f>
        <v>0</v>
      </c>
      <c r="AU23" s="69">
        <f>AS23-AT23</f>
        <v>0</v>
      </c>
      <c r="AZ23" s="126"/>
      <c r="BA23" s="111" t="str">
        <f>AP51</f>
        <v>Algeria</v>
      </c>
      <c r="BB23" s="61">
        <v>1</v>
      </c>
      <c r="BC23" s="62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4"/>
      <c r="BQ23" s="103"/>
      <c r="BR23" s="125">
        <v>64</v>
      </c>
      <c r="BS23" s="110" t="str">
        <f>W76</f>
        <v>Germany</v>
      </c>
      <c r="BT23" s="63">
        <v>1</v>
      </c>
      <c r="BU23" s="64"/>
    </row>
    <row r="24" spans="1:73">
      <c r="A24" s="90">
        <v>18</v>
      </c>
      <c r="B24" s="91" t="str">
        <f t="shared" si="0"/>
        <v>Wed</v>
      </c>
      <c r="C24" s="92" t="str">
        <f t="shared" si="1"/>
        <v>Jun 18, 2014</v>
      </c>
      <c r="D24" s="93">
        <f t="shared" si="3"/>
        <v>0.375</v>
      </c>
      <c r="E24" s="94" t="str">
        <f>AC17</f>
        <v>Australia</v>
      </c>
      <c r="F24" s="59">
        <v>2</v>
      </c>
      <c r="G24" s="60">
        <v>3</v>
      </c>
      <c r="H24" s="101" t="str">
        <f>AC15</f>
        <v>Netherlands</v>
      </c>
      <c r="I24" s="130" t="str">
        <f>INDEX(T,110,lang)</f>
        <v>Porto Alegre</v>
      </c>
      <c r="J24" s="131"/>
      <c r="K24" s="132"/>
      <c r="M24" s="24" t="str">
        <f>VLOOKUP(4,AB20:AL23,2,FALSE)</f>
        <v>Japan</v>
      </c>
      <c r="N24" s="31">
        <f>O24+P24+Q24</f>
        <v>3</v>
      </c>
      <c r="O24" s="31">
        <f>VLOOKUP(4,AB20:AL23,3,FALSE)</f>
        <v>0</v>
      </c>
      <c r="P24" s="31">
        <f>VLOOKUP(4,AB20:AL23,4,FALSE)</f>
        <v>1</v>
      </c>
      <c r="Q24" s="31">
        <f>VLOOKUP(4,AB20:AL23,5,FALSE)</f>
        <v>2</v>
      </c>
      <c r="R24" s="31" t="str">
        <f>VLOOKUP(4,AB20:AL23,6,FALSE) &amp; " - " &amp; VLOOKUP(4,AB20:AL23,7,FALSE)</f>
        <v>2 - 6</v>
      </c>
      <c r="S24" s="32">
        <f>O24*3+P24</f>
        <v>1</v>
      </c>
      <c r="U24" s="65">
        <f>DATE(2014,6,18)+TIME(5,0,0)+gmt_delta</f>
        <v>41808.375</v>
      </c>
      <c r="V24" s="71" t="str">
        <f t="shared" si="4"/>
        <v>Australia_lose</v>
      </c>
      <c r="W24" s="71" t="str">
        <f t="shared" si="2"/>
        <v>Netherlands_win</v>
      </c>
      <c r="X24" s="66">
        <f t="shared" si="5"/>
        <v>0</v>
      </c>
      <c r="Y24" s="65">
        <f t="shared" si="6"/>
        <v>0</v>
      </c>
      <c r="Z24" s="65">
        <f t="shared" si="7"/>
        <v>0</v>
      </c>
      <c r="AD24" s="65">
        <f t="shared" ref="AD24:AM24" si="10">MAX(AD20:AD23)-MIN(AD20:AD23)+1</f>
        <v>4</v>
      </c>
      <c r="AE24" s="65">
        <f t="shared" si="10"/>
        <v>2</v>
      </c>
      <c r="AF24" s="65">
        <f t="shared" si="10"/>
        <v>3</v>
      </c>
      <c r="AG24" s="65">
        <f t="shared" si="10"/>
        <v>8</v>
      </c>
      <c r="AH24" s="65">
        <f t="shared" si="10"/>
        <v>4</v>
      </c>
      <c r="AI24" s="65">
        <f>MAX(AI20:AI23)-AI25+1</f>
        <v>81008</v>
      </c>
      <c r="AJ24" s="65">
        <f>MAX(AJ20:AJ23)-AJ25+1</f>
        <v>11</v>
      </c>
      <c r="AL24" s="65">
        <f t="shared" si="10"/>
        <v>9</v>
      </c>
      <c r="AM24" s="65">
        <f t="shared" si="10"/>
        <v>1</v>
      </c>
      <c r="AQ24" s="65">
        <f>MAX(AQ20:AQ23)-MIN(AQ20:AQ23)+1</f>
        <v>1</v>
      </c>
      <c r="AR24" s="65">
        <f>MAX(AR20:AR23)-MIN(AR20:AR23)+1</f>
        <v>1</v>
      </c>
      <c r="AS24" s="65">
        <f>MAX(AS20:AS23)-MIN(AS20:AS23)+1</f>
        <v>1</v>
      </c>
      <c r="AT24" s="65">
        <f>MAX(AT20:AT23)-MIN(AT20:AT23)+1</f>
        <v>1</v>
      </c>
      <c r="AU24" s="65">
        <f>MAX(AU20:AU23)-MIN(AU20:AU23)+1</f>
        <v>1</v>
      </c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4"/>
      <c r="BQ24" s="105"/>
      <c r="BR24" s="126"/>
      <c r="BS24" s="111" t="str">
        <f>W77</f>
        <v>Argentina</v>
      </c>
      <c r="BT24" s="61">
        <v>0</v>
      </c>
      <c r="BU24" s="62"/>
    </row>
    <row r="25" spans="1:73">
      <c r="A25" s="90">
        <v>19</v>
      </c>
      <c r="B25" s="91" t="str">
        <f t="shared" si="0"/>
        <v>Wed</v>
      </c>
      <c r="C25" s="92" t="str">
        <f t="shared" si="1"/>
        <v>Jun 18, 2014</v>
      </c>
      <c r="D25" s="93">
        <f t="shared" si="3"/>
        <v>0.625</v>
      </c>
      <c r="E25" s="94" t="str">
        <f>AC11</f>
        <v>Cameroon</v>
      </c>
      <c r="F25" s="59">
        <v>0</v>
      </c>
      <c r="G25" s="60">
        <v>4</v>
      </c>
      <c r="H25" s="101" t="str">
        <f>AC9</f>
        <v>Croatia</v>
      </c>
      <c r="I25" s="130" t="str">
        <f>INDEX(T,108,lang)</f>
        <v>Manaus</v>
      </c>
      <c r="J25" s="131"/>
      <c r="K25" s="132"/>
      <c r="M25" s="33"/>
      <c r="N25" s="34"/>
      <c r="O25" s="34"/>
      <c r="P25" s="34"/>
      <c r="Q25" s="34"/>
      <c r="R25" s="34"/>
      <c r="S25" s="34"/>
      <c r="U25" s="65">
        <f>DATE(2014,6,18)+TIME(11,0,0)+gmt_delta</f>
        <v>41808.625</v>
      </c>
      <c r="V25" s="71" t="str">
        <f t="shared" si="4"/>
        <v>Cameroon_lose</v>
      </c>
      <c r="W25" s="71" t="str">
        <f t="shared" si="2"/>
        <v>Croatia_win</v>
      </c>
      <c r="X25" s="66">
        <f t="shared" si="5"/>
        <v>0</v>
      </c>
      <c r="Y25" s="65">
        <f t="shared" si="6"/>
        <v>0</v>
      </c>
      <c r="Z25" s="65">
        <f t="shared" si="7"/>
        <v>0</v>
      </c>
      <c r="AI25" s="65">
        <f>MIN(AI20:AI23)</f>
        <v>9602</v>
      </c>
      <c r="AJ25" s="65">
        <f>MIN(AJ20:AJ23)</f>
        <v>-4</v>
      </c>
      <c r="AZ25" s="103" t="str">
        <f>INDEX(T,24+MONTH(U60),lang) &amp; " " &amp; DAY(U60) &amp; ", " &amp; YEAR(U60) &amp; "   " &amp; TEXT(TIME(HOUR(U60),MINUTE(U60),0),"hh:mm")</f>
        <v>Jun 29, 2014   09:00</v>
      </c>
      <c r="BA25" s="103"/>
      <c r="BB25" s="103"/>
      <c r="BC25" s="114" t="str">
        <f>INDEX(T,107,lang)</f>
        <v>Fortaleza</v>
      </c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4"/>
      <c r="BQ25" s="103"/>
      <c r="BR25" s="103"/>
      <c r="BS25" s="103"/>
      <c r="BT25" s="103"/>
      <c r="BU25" s="103"/>
    </row>
    <row r="26" spans="1:73">
      <c r="A26" s="90">
        <v>20</v>
      </c>
      <c r="B26" s="91" t="str">
        <f t="shared" si="0"/>
        <v>Wed</v>
      </c>
      <c r="C26" s="92" t="str">
        <f t="shared" si="1"/>
        <v>Jun 18, 2014</v>
      </c>
      <c r="D26" s="93">
        <f t="shared" si="3"/>
        <v>0.5</v>
      </c>
      <c r="E26" s="94" t="str">
        <f>AC14</f>
        <v>Spain</v>
      </c>
      <c r="F26" s="59">
        <v>0</v>
      </c>
      <c r="G26" s="60">
        <v>2</v>
      </c>
      <c r="H26" s="101" t="str">
        <f>AC16</f>
        <v>Chile</v>
      </c>
      <c r="I26" s="130" t="str">
        <f>INDEX(T,112,lang)</f>
        <v>Rio De Janeiro</v>
      </c>
      <c r="J26" s="131"/>
      <c r="K26" s="132"/>
      <c r="M26" s="57" t="str">
        <f>INDEX(T,9,lang) &amp; " " &amp; "D"</f>
        <v>Group D</v>
      </c>
      <c r="N26" s="58" t="str">
        <f>INDEX(T,10,lang)</f>
        <v>PL</v>
      </c>
      <c r="O26" s="58" t="str">
        <f>INDEX(T,11,lang)</f>
        <v>W</v>
      </c>
      <c r="P26" s="58" t="str">
        <f>INDEX(T,12,lang)</f>
        <v>DRAW</v>
      </c>
      <c r="Q26" s="58" t="str">
        <f>INDEX(T,13,lang)</f>
        <v>L</v>
      </c>
      <c r="R26" s="58" t="str">
        <f>INDEX(T,14,lang)</f>
        <v>GF - GA</v>
      </c>
      <c r="S26" s="58" t="str">
        <f>INDEX(T,15,lang)</f>
        <v>PNT</v>
      </c>
      <c r="U26" s="65">
        <f>DATE(2014,6,18)+TIME(8,0,0)+gmt_delta</f>
        <v>41808.5</v>
      </c>
      <c r="V26" s="71" t="str">
        <f t="shared" si="4"/>
        <v>Spain_lose</v>
      </c>
      <c r="W26" s="71" t="str">
        <f t="shared" si="2"/>
        <v>Chile_win</v>
      </c>
      <c r="X26" s="66">
        <f t="shared" si="5"/>
        <v>0</v>
      </c>
      <c r="Y26" s="65">
        <f t="shared" si="6"/>
        <v>0</v>
      </c>
      <c r="Z26" s="65">
        <f t="shared" si="7"/>
        <v>0</v>
      </c>
      <c r="AB26" s="65">
        <f>COUNTIF(AO26:AO29,CONCATENATE("&gt;=",AO26))</f>
        <v>2</v>
      </c>
      <c r="AC26" s="66" t="str">
        <f>INDEX(T,40,lang)</f>
        <v>Uruguay</v>
      </c>
      <c r="AD26" s="65">
        <f>COUNTIF($V$7:$W$54,"=" &amp; AC26 &amp; "_win")</f>
        <v>2</v>
      </c>
      <c r="AE26" s="65">
        <f>COUNTIF($V$7:$W$54,"=" &amp; AC26 &amp; "_draw")</f>
        <v>0</v>
      </c>
      <c r="AF26" s="65">
        <f>COUNTIF($V$7:$W$54,"=" &amp; AC26 &amp; "_lose")</f>
        <v>1</v>
      </c>
      <c r="AG26" s="65">
        <f>SUMIF($E$7:$E$54,$AC26,$F$7:$F$54) + SUMIF($H$7:$H$54,$AC26,$G$7:$G$54)</f>
        <v>4</v>
      </c>
      <c r="AH26" s="65">
        <f>SUMIF($E$7:$E$54,$AC26,$G$7:$G$54) + SUMIF($H$7:$H$54,$AC26,$F$7:$F$54)</f>
        <v>4</v>
      </c>
      <c r="AI26" s="65">
        <f>(AG26-AH26)*100+AL26*10000+AG26</f>
        <v>60004</v>
      </c>
      <c r="AJ26" s="65">
        <f>AG26-AH26</f>
        <v>0</v>
      </c>
      <c r="AK26" s="65">
        <f>(AJ26-AJ31)/AJ30</f>
        <v>0.33333333333333331</v>
      </c>
      <c r="AL26" s="65">
        <f>AD26*3+AE26</f>
        <v>6</v>
      </c>
      <c r="AM26" s="65">
        <f>AQ26/AQ30*1000+AR26/AR30*100+AU26/AU30*10+AS26/AS30</f>
        <v>0</v>
      </c>
      <c r="AN26" s="65">
        <f>VLOOKUP(AC26,db_fifarank,2,FALSE)/2000000</f>
        <v>5.9049999999999999E-4</v>
      </c>
      <c r="AO26" s="66">
        <f>1000*AL26/AL30+100*AK26+10*AG26/AG30+1*AM26/AM30+AN26</f>
        <v>903.8101143095239</v>
      </c>
      <c r="AP26" s="67" t="str">
        <f>IF(SUM(AD26:AF29)=12,M27,INDEX(T,76,lang))</f>
        <v>Costa Rica</v>
      </c>
      <c r="AQ26" s="68">
        <f>SUMPRODUCT(($V$7:$V$54=AC26&amp;"_win")*($X$7:$X$54))+SUMPRODUCT(($W$7:$W$54=AC26&amp;"_win")*($X$7:$X$54))</f>
        <v>0</v>
      </c>
      <c r="AR26" s="69">
        <f>SUMPRODUCT(($V$7:$V$54=AC26&amp;"_draw")*($X$7:$X$54))+SUMPRODUCT(($W$7:$W$54=AC26&amp;"_draw")*($X$7:$X$54))</f>
        <v>0</v>
      </c>
      <c r="AS26" s="69">
        <f>SUMPRODUCT(($E$7:$E$54=AC26)*($X$7:$X$54)*($F$7:$F$54))+SUMPRODUCT(($H$7:$H$54=AC26)*($X$7:$X$54)*($G$7:$G$54))</f>
        <v>0</v>
      </c>
      <c r="AT26" s="69">
        <f>SUMPRODUCT(($E$7:$E$54=AC26)*($X$7:$X$54)*($G$7:$G$54))+SUMPRODUCT(($H$7:$H$54=AC26)*($X$7:$X$54)*($F$7:$F$54))</f>
        <v>0</v>
      </c>
      <c r="AU26" s="69">
        <f>AS26-AT26</f>
        <v>0</v>
      </c>
      <c r="AZ26" s="125">
        <v>51</v>
      </c>
      <c r="BA26" s="110" t="str">
        <f>AP14</f>
        <v>Netherlands</v>
      </c>
      <c r="BB26" s="63">
        <v>2</v>
      </c>
      <c r="BC26" s="64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4"/>
      <c r="BQ26" s="103"/>
      <c r="BR26" s="103"/>
      <c r="BS26" s="103"/>
      <c r="BT26" s="103"/>
      <c r="BU26" s="103"/>
    </row>
    <row r="27" spans="1:73">
      <c r="A27" s="90">
        <v>21</v>
      </c>
      <c r="B27" s="91" t="str">
        <f t="shared" si="0"/>
        <v>Thu</v>
      </c>
      <c r="C27" s="92" t="str">
        <f t="shared" si="1"/>
        <v>Jun 19, 2014</v>
      </c>
      <c r="D27" s="93">
        <f t="shared" si="3"/>
        <v>0.375</v>
      </c>
      <c r="E27" s="94" t="str">
        <f>AC20</f>
        <v>Colombia</v>
      </c>
      <c r="F27" s="59">
        <v>2</v>
      </c>
      <c r="G27" s="60">
        <v>1</v>
      </c>
      <c r="H27" s="101" t="str">
        <f>AC22</f>
        <v>Côte d'Ivoire</v>
      </c>
      <c r="I27" s="130" t="str">
        <f>INDEX(T,104,lang)</f>
        <v>Brasilia</v>
      </c>
      <c r="J27" s="131"/>
      <c r="K27" s="132"/>
      <c r="M27" s="22" t="str">
        <f>VLOOKUP(1,AB26:AL29,2,FALSE)</f>
        <v>Costa Rica</v>
      </c>
      <c r="N27" s="27">
        <f>O27+P27+Q27</f>
        <v>3</v>
      </c>
      <c r="O27" s="27">
        <f>VLOOKUP(1,AB26:AL29,3,FALSE)</f>
        <v>2</v>
      </c>
      <c r="P27" s="27">
        <f>VLOOKUP(1,AB26:AL29,4,FALSE)</f>
        <v>1</v>
      </c>
      <c r="Q27" s="27">
        <f>VLOOKUP(1,AB26:AL29,5,FALSE)</f>
        <v>0</v>
      </c>
      <c r="R27" s="27" t="str">
        <f>VLOOKUP(1,AB26:AL29,6,FALSE) &amp; " - " &amp; VLOOKUP(1,AB26:AL29,7,FALSE)</f>
        <v>4 - 1</v>
      </c>
      <c r="S27" s="28">
        <f>O27*3+P27</f>
        <v>7</v>
      </c>
      <c r="U27" s="65">
        <f>DATE(2014,6,19)+TIME(5,0,0)+gmt_delta</f>
        <v>41809.375</v>
      </c>
      <c r="V27" s="71" t="str">
        <f t="shared" si="4"/>
        <v>Colombia_win</v>
      </c>
      <c r="W27" s="71" t="str">
        <f t="shared" si="2"/>
        <v>Côte d'Ivoire_lose</v>
      </c>
      <c r="X27" s="66">
        <f t="shared" si="5"/>
        <v>0</v>
      </c>
      <c r="Y27" s="65">
        <f t="shared" si="6"/>
        <v>0</v>
      </c>
      <c r="Z27" s="65">
        <f t="shared" si="7"/>
        <v>0</v>
      </c>
      <c r="AB27" s="65">
        <f>COUNTIF(AO26:AO29,CONCATENATE("&gt;=",AO27))</f>
        <v>1</v>
      </c>
      <c r="AC27" s="66" t="str">
        <f>INDEX(T,55,lang)</f>
        <v>Costa Rica</v>
      </c>
      <c r="AD27" s="65">
        <f>COUNTIF($V$7:$W$54,"=" &amp; AC27 &amp; "_win")</f>
        <v>2</v>
      </c>
      <c r="AE27" s="65">
        <f>COUNTIF($V$7:$W$54,"=" &amp; AC27 &amp; "_draw")</f>
        <v>1</v>
      </c>
      <c r="AF27" s="65">
        <f>COUNTIF($V$7:$W$54,"=" &amp; AC27 &amp; "_lose")</f>
        <v>0</v>
      </c>
      <c r="AG27" s="65">
        <f>SUMIF($E$7:$E$54,$AC27,$F$7:$F$54) + SUMIF($H$7:$H$54,$AC27,$G$7:$G$54)</f>
        <v>4</v>
      </c>
      <c r="AH27" s="65">
        <f>SUMIF($E$7:$E$54,$AC27,$G$7:$G$54) + SUMIF($H$7:$H$54,$AC27,$F$7:$F$54)</f>
        <v>1</v>
      </c>
      <c r="AI27" s="65">
        <f>(AG27-AH27)*100+AL27*10000+AG27</f>
        <v>70304</v>
      </c>
      <c r="AJ27" s="65">
        <f>AG27-AH27</f>
        <v>3</v>
      </c>
      <c r="AK27" s="65">
        <f>(AJ27-AJ31)/AJ30</f>
        <v>0.83333333333333337</v>
      </c>
      <c r="AL27" s="65">
        <f>AD27*3+AE27</f>
        <v>7</v>
      </c>
      <c r="AM27" s="65">
        <f>AQ27/AQ30*1000+AR27/AR30*100+AU27/AU30*10+AS27/AS30</f>
        <v>0</v>
      </c>
      <c r="AN27" s="65">
        <f>VLOOKUP(AC27,db_fifarank,2,FALSE)/2000000</f>
        <v>3.7399999999999998E-4</v>
      </c>
      <c r="AO27" s="66">
        <f>1000*AL27/AL30+100*AK27+10*AG27/AG30+1*AM27/AM30+AN27</f>
        <v>1096.6670406666665</v>
      </c>
      <c r="AP27" s="67" t="str">
        <f>IF(SUM(AD26:AF29)=12,M28,INDEX(T,77,lang))</f>
        <v>Uruguay</v>
      </c>
      <c r="AQ27" s="68">
        <f>SUMPRODUCT(($V$7:$V$54=AC27&amp;"_win")*($X$7:$X$54))+SUMPRODUCT(($W$7:$W$54=AC27&amp;"_win")*($X$7:$X$54))</f>
        <v>0</v>
      </c>
      <c r="AR27" s="69">
        <f>SUMPRODUCT(($V$7:$V$54=AC27&amp;"_draw")*($X$7:$X$54))+SUMPRODUCT(($W$7:$W$54=AC27&amp;"_draw")*($X$7:$X$54))</f>
        <v>0</v>
      </c>
      <c r="AS27" s="69">
        <f>SUMPRODUCT(($E$7:$E$54=AC27)*($X$7:$X$54)*($F$7:$F$54))+SUMPRODUCT(($H$7:$H$54=AC27)*($X$7:$X$54)*($G$7:$G$54))</f>
        <v>0</v>
      </c>
      <c r="AT27" s="69">
        <f>SUMPRODUCT(($E$7:$E$54=AC27)*($X$7:$X$54)*($G$7:$G$54))+SUMPRODUCT(($H$7:$H$54=AC27)*($X$7:$X$54)*($F$7:$F$54))</f>
        <v>0</v>
      </c>
      <c r="AU27" s="69">
        <f>AS27-AT27</f>
        <v>0</v>
      </c>
      <c r="AZ27" s="126"/>
      <c r="BA27" s="111" t="str">
        <f>AP9</f>
        <v>Mexico</v>
      </c>
      <c r="BB27" s="61">
        <v>1</v>
      </c>
      <c r="BC27" s="62"/>
      <c r="BD27" s="106"/>
      <c r="BE27" s="103"/>
      <c r="BF27" s="103" t="str">
        <f>INDEX(T,24+MONTH(U71),lang) &amp; " " &amp; DAY(U71) &amp; ", " &amp; YEAR(U71) &amp; "   " &amp; TEXT(TIME(HOUR(U71),MINUTE(U71),0),"hh:mm")</f>
        <v>Jul 5, 2014   13:00</v>
      </c>
      <c r="BG27" s="103"/>
      <c r="BH27" s="103"/>
      <c r="BI27" s="113" t="str">
        <f>INDEX(T,113,lang)</f>
        <v>Salvador</v>
      </c>
      <c r="BJ27" s="103"/>
      <c r="BK27" s="103"/>
      <c r="BL27" s="103"/>
      <c r="BM27" s="103"/>
      <c r="BN27" s="103"/>
      <c r="BO27" s="103"/>
      <c r="BP27" s="104"/>
      <c r="BQ27" s="103"/>
      <c r="BR27" s="103"/>
      <c r="BS27" s="103"/>
      <c r="BT27" s="103"/>
      <c r="BU27" s="103"/>
    </row>
    <row r="28" spans="1:73">
      <c r="A28" s="90">
        <v>22</v>
      </c>
      <c r="B28" s="91" t="str">
        <f t="shared" si="0"/>
        <v>Thu</v>
      </c>
      <c r="C28" s="92" t="str">
        <f t="shared" si="1"/>
        <v>Jun 19, 2014</v>
      </c>
      <c r="D28" s="93">
        <f t="shared" si="3"/>
        <v>0.5</v>
      </c>
      <c r="E28" s="94" t="str">
        <f>AC26</f>
        <v>Uruguay</v>
      </c>
      <c r="F28" s="59">
        <v>2</v>
      </c>
      <c r="G28" s="60">
        <v>1</v>
      </c>
      <c r="H28" s="101" t="str">
        <f>AC28</f>
        <v>England</v>
      </c>
      <c r="I28" s="130" t="str">
        <f>INDEX(T,114,lang)</f>
        <v>Sao Paulo</v>
      </c>
      <c r="J28" s="131"/>
      <c r="K28" s="132"/>
      <c r="M28" s="23" t="str">
        <f>VLOOKUP(2,AB26:AL29,2,FALSE)</f>
        <v>Uruguay</v>
      </c>
      <c r="N28" s="29">
        <f>O28+P28+Q28</f>
        <v>3</v>
      </c>
      <c r="O28" s="29">
        <f>VLOOKUP(2,AB26:AL29,3,FALSE)</f>
        <v>2</v>
      </c>
      <c r="P28" s="29">
        <f>VLOOKUP(2,AB26:AL29,4,FALSE)</f>
        <v>0</v>
      </c>
      <c r="Q28" s="29">
        <f>VLOOKUP(2,AB26:AL29,5,FALSE)</f>
        <v>1</v>
      </c>
      <c r="R28" s="29" t="str">
        <f>VLOOKUP(2,AB26:AL29,6,FALSE) &amp; " - " &amp; VLOOKUP(2,AB26:AL29,7,FALSE)</f>
        <v>4 - 4</v>
      </c>
      <c r="S28" s="30">
        <f>O28*3+P28</f>
        <v>6</v>
      </c>
      <c r="U28" s="65">
        <f>DATE(2014,6,19)+TIME(8,0,0)+gmt_delta</f>
        <v>41809.5</v>
      </c>
      <c r="V28" s="71" t="str">
        <f t="shared" si="4"/>
        <v>Uruguay_win</v>
      </c>
      <c r="W28" s="71" t="str">
        <f t="shared" si="2"/>
        <v>England_lose</v>
      </c>
      <c r="X28" s="66">
        <f t="shared" si="5"/>
        <v>0</v>
      </c>
      <c r="Y28" s="65">
        <f t="shared" si="6"/>
        <v>0</v>
      </c>
      <c r="Z28" s="65">
        <f t="shared" si="7"/>
        <v>0</v>
      </c>
      <c r="AB28" s="65">
        <f>COUNTIF(AO26:AO29,CONCATENATE("&gt;=",AO28))</f>
        <v>4</v>
      </c>
      <c r="AC28" s="66" t="str">
        <f>INDEX(T,46,lang)</f>
        <v>England</v>
      </c>
      <c r="AD28" s="65">
        <f>COUNTIF($V$7:$W$54,"=" &amp; AC28 &amp; "_win")</f>
        <v>0</v>
      </c>
      <c r="AE28" s="65">
        <f>COUNTIF($V$7:$W$54,"=" &amp; AC28 &amp; "_draw")</f>
        <v>1</v>
      </c>
      <c r="AF28" s="65">
        <f>COUNTIF($V$7:$W$54,"=" &amp; AC28 &amp; "_lose")</f>
        <v>2</v>
      </c>
      <c r="AG28" s="65">
        <f>SUMIF($E$7:$E$54,$AC28,$F$7:$F$54) + SUMIF($H$7:$H$54,$AC28,$G$7:$G$54)</f>
        <v>2</v>
      </c>
      <c r="AH28" s="65">
        <f>SUMIF($E$7:$E$54,$AC28,$G$7:$G$54) + SUMIF($H$7:$H$54,$AC28,$F$7:$F$54)</f>
        <v>4</v>
      </c>
      <c r="AI28" s="65">
        <f>(AG28-AH28)*100+AL28*10000+AG28</f>
        <v>9802</v>
      </c>
      <c r="AJ28" s="65">
        <f>AG28-AH28</f>
        <v>-2</v>
      </c>
      <c r="AK28" s="65">
        <f>(AJ28-AJ31)/AJ30</f>
        <v>0</v>
      </c>
      <c r="AL28" s="65">
        <f>AD28*3+AE28</f>
        <v>1</v>
      </c>
      <c r="AM28" s="65">
        <f>AQ28/AQ30*1000+AR28/AR30*100+AU28/AU30*10+AS28/AS30</f>
        <v>0</v>
      </c>
      <c r="AN28" s="65">
        <f>VLOOKUP(AC28,db_fifarank,2,FALSE)/2000000</f>
        <v>5.2150000000000005E-4</v>
      </c>
      <c r="AO28" s="66">
        <f>1000*AL28/AL30+100*AK28+10*AG28/AG30+1*AM28/AM30+AN28</f>
        <v>149.52433102380951</v>
      </c>
      <c r="AQ28" s="68">
        <f>SUMPRODUCT(($V$7:$V$54=AC28&amp;"_win")*($X$7:$X$54))+SUMPRODUCT(($W$7:$W$54=AC28&amp;"_win")*($X$7:$X$54))</f>
        <v>0</v>
      </c>
      <c r="AR28" s="69">
        <f>SUMPRODUCT(($V$7:$V$54=AC28&amp;"_draw")*($X$7:$X$54))+SUMPRODUCT(($W$7:$W$54=AC28&amp;"_draw")*($X$7:$X$54))</f>
        <v>0</v>
      </c>
      <c r="AS28" s="69">
        <f>SUMPRODUCT(($E$7:$E$54=AC28)*($X$7:$X$54)*($F$7:$F$54))+SUMPRODUCT(($H$7:$H$54=AC28)*($X$7:$X$54)*($G$7:$G$54))</f>
        <v>0</v>
      </c>
      <c r="AT28" s="69">
        <f>SUMPRODUCT(($E$7:$E$54=AC28)*($X$7:$X$54)*($G$7:$G$54))+SUMPRODUCT(($H$7:$H$54=AC28)*($X$7:$X$54)*($F$7:$F$54))</f>
        <v>0</v>
      </c>
      <c r="AU28" s="69">
        <f>AS28-AT28</f>
        <v>0</v>
      </c>
      <c r="AZ28" s="103"/>
      <c r="BA28" s="103"/>
      <c r="BB28" s="103"/>
      <c r="BC28" s="103"/>
      <c r="BD28" s="104"/>
      <c r="BE28" s="103"/>
      <c r="BF28" s="125">
        <v>59</v>
      </c>
      <c r="BG28" s="110" t="str">
        <f>W60</f>
        <v>Netherlands</v>
      </c>
      <c r="BH28" s="63">
        <v>0</v>
      </c>
      <c r="BI28" s="64">
        <v>4</v>
      </c>
      <c r="BJ28" s="103"/>
      <c r="BK28" s="103"/>
      <c r="BL28" s="103"/>
      <c r="BM28" s="103"/>
      <c r="BN28" s="103"/>
      <c r="BO28" s="103"/>
      <c r="BP28" s="104"/>
      <c r="BQ28" s="103"/>
      <c r="BR28" s="103"/>
      <c r="BS28" s="103"/>
      <c r="BT28" s="103"/>
      <c r="BU28" s="103"/>
    </row>
    <row r="29" spans="1:73" ht="12.75" customHeight="1">
      <c r="A29" s="90">
        <v>23</v>
      </c>
      <c r="B29" s="91" t="str">
        <f t="shared" si="0"/>
        <v>Thu</v>
      </c>
      <c r="C29" s="92" t="str">
        <f t="shared" si="1"/>
        <v>Jun 19, 2014</v>
      </c>
      <c r="D29" s="93">
        <f t="shared" si="3"/>
        <v>0.625</v>
      </c>
      <c r="E29" s="94" t="str">
        <f>AC23</f>
        <v>Japan</v>
      </c>
      <c r="F29" s="59">
        <v>0</v>
      </c>
      <c r="G29" s="60">
        <v>0</v>
      </c>
      <c r="H29" s="101" t="str">
        <f>AC21</f>
        <v>Greece</v>
      </c>
      <c r="I29" s="130" t="str">
        <f>INDEX(T,109,lang)</f>
        <v>Natal</v>
      </c>
      <c r="J29" s="131"/>
      <c r="K29" s="132"/>
      <c r="M29" s="23" t="str">
        <f>VLOOKUP(3,AB26:AL29,2,FALSE)</f>
        <v>Italy</v>
      </c>
      <c r="N29" s="29">
        <f>O29+P29+Q29</f>
        <v>3</v>
      </c>
      <c r="O29" s="29">
        <f>VLOOKUP(3,AB26:AL29,3,FALSE)</f>
        <v>1</v>
      </c>
      <c r="P29" s="29">
        <f>VLOOKUP(3,AB26:AL29,4,FALSE)</f>
        <v>0</v>
      </c>
      <c r="Q29" s="29">
        <f>VLOOKUP(3,AB26:AL29,5,FALSE)</f>
        <v>2</v>
      </c>
      <c r="R29" s="29" t="str">
        <f>VLOOKUP(3,AB26:AL29,6,FALSE) &amp; " - " &amp; VLOOKUP(3,AB26:AL29,7,FALSE)</f>
        <v>2 - 3</v>
      </c>
      <c r="S29" s="30">
        <f>O29*3+P29</f>
        <v>3</v>
      </c>
      <c r="U29" s="65">
        <f>DATE(2014,6,19)+TIME(11,0,0)+gmt_delta</f>
        <v>41809.625</v>
      </c>
      <c r="V29" s="71" t="str">
        <f t="shared" si="4"/>
        <v>Japan_draw</v>
      </c>
      <c r="W29" s="71" t="str">
        <f t="shared" si="2"/>
        <v>Greece_draw</v>
      </c>
      <c r="X29" s="66">
        <f t="shared" si="5"/>
        <v>0</v>
      </c>
      <c r="Y29" s="65">
        <f t="shared" si="6"/>
        <v>0</v>
      </c>
      <c r="Z29" s="65">
        <f t="shared" si="7"/>
        <v>0</v>
      </c>
      <c r="AB29" s="65">
        <f>COUNTIF(AO26:AO29,CONCATENATE("&gt;=",AO29))</f>
        <v>3</v>
      </c>
      <c r="AC29" s="66" t="str">
        <f>INDEX(T,58,lang)</f>
        <v>Italy</v>
      </c>
      <c r="AD29" s="65">
        <f>COUNTIF($V$7:$W$54,"=" &amp; AC29 &amp; "_win")</f>
        <v>1</v>
      </c>
      <c r="AE29" s="65">
        <f>COUNTIF($V$7:$W$54,"=" &amp; AC29 &amp; "_draw")</f>
        <v>0</v>
      </c>
      <c r="AF29" s="65">
        <f>COUNTIF($V$7:$W$54,"=" &amp; AC29 &amp; "_lose")</f>
        <v>2</v>
      </c>
      <c r="AG29" s="65">
        <f>SUMIF($E$7:$E$54,$AC29,$F$7:$F$54) + SUMIF($H$7:$H$54,$AC29,$G$7:$G$54)</f>
        <v>2</v>
      </c>
      <c r="AH29" s="65">
        <f>SUMIF($E$7:$E$54,$AC29,$G$7:$G$54) + SUMIF($H$7:$H$54,$AC29,$F$7:$F$54)</f>
        <v>3</v>
      </c>
      <c r="AI29" s="65">
        <f>(AG29-AH29)*100+AL29*10000+AG29</f>
        <v>29902</v>
      </c>
      <c r="AJ29" s="65">
        <f>AG29-AH29</f>
        <v>-1</v>
      </c>
      <c r="AK29" s="65">
        <f>(AJ29-AJ31)/AJ30</f>
        <v>0.16666666666666666</v>
      </c>
      <c r="AL29" s="65">
        <f>AD29*3+AE29</f>
        <v>3</v>
      </c>
      <c r="AM29" s="65">
        <f>AQ29/AQ30*1000+AR29/AR30*100+AU29/AU30*10+AS29/AS30</f>
        <v>0</v>
      </c>
      <c r="AN29" s="65">
        <f>VLOOKUP(AC29,db_fifarank,2,FALSE)/2000000</f>
        <v>5.5750000000000005E-4</v>
      </c>
      <c r="AO29" s="66">
        <f>1000*AL29/AL30+100*AK29+10*AG29/AG30+1*AM29/AM30+AN29</f>
        <v>451.90531940476194</v>
      </c>
      <c r="AQ29" s="68">
        <f>SUMPRODUCT(($V$7:$V$54=AC29&amp;"_win")*($X$7:$X$54))+SUMPRODUCT(($W$7:$W$54=AC29&amp;"_win")*($X$7:$X$54))</f>
        <v>0</v>
      </c>
      <c r="AR29" s="69">
        <f>SUMPRODUCT(($V$7:$V$54=AC29&amp;"_draw")*($X$7:$X$54))+SUMPRODUCT(($W$7:$W$54=AC29&amp;"_draw")*($X$7:$X$54))</f>
        <v>0</v>
      </c>
      <c r="AS29" s="69">
        <f>SUMPRODUCT(($E$7:$E$54=AC29)*($X$7:$X$54)*($F$7:$F$54))+SUMPRODUCT(($H$7:$H$54=AC29)*($X$7:$X$54)*($G$7:$G$54))</f>
        <v>0</v>
      </c>
      <c r="AT29" s="69">
        <f>SUMPRODUCT(($E$7:$E$54=AC29)*($X$7:$X$54)*($G$7:$G$54))+SUMPRODUCT(($H$7:$H$54=AC29)*($X$7:$X$54)*($F$7:$F$54))</f>
        <v>0</v>
      </c>
      <c r="AU29" s="69">
        <f>AS29-AT29</f>
        <v>0</v>
      </c>
      <c r="AZ29" s="103" t="str">
        <f>INDEX(T,24+MONTH(U61),lang) &amp; " " &amp; DAY(U61) &amp; ", " &amp; YEAR(U61) &amp; "   " &amp; TEXT(TIME(HOUR(U61),MINUTE(U61),0),"hh:mm")</f>
        <v>Jun 29, 2014   13:00</v>
      </c>
      <c r="BA29" s="103"/>
      <c r="BB29" s="103"/>
      <c r="BC29" s="113" t="str">
        <f>INDEX(T,111,lang)</f>
        <v>Recife</v>
      </c>
      <c r="BD29" s="104"/>
      <c r="BE29" s="105"/>
      <c r="BF29" s="126"/>
      <c r="BG29" s="111" t="str">
        <f>W61</f>
        <v>Costa Rica</v>
      </c>
      <c r="BH29" s="61">
        <v>0</v>
      </c>
      <c r="BI29" s="62">
        <v>3</v>
      </c>
      <c r="BJ29" s="106"/>
      <c r="BK29" s="103"/>
      <c r="BL29" s="103"/>
      <c r="BM29" s="103"/>
      <c r="BN29" s="103"/>
      <c r="BO29" s="103"/>
      <c r="BP29" s="104"/>
      <c r="BQ29" s="103"/>
      <c r="BR29" s="103"/>
      <c r="BS29" s="103"/>
      <c r="BT29" s="103"/>
      <c r="BU29" s="103"/>
    </row>
    <row r="30" spans="1:73" ht="12.75" customHeight="1">
      <c r="A30" s="90">
        <v>24</v>
      </c>
      <c r="B30" s="91" t="str">
        <f t="shared" si="0"/>
        <v>Fri</v>
      </c>
      <c r="C30" s="92" t="str">
        <f t="shared" si="1"/>
        <v>Jun 20, 2014</v>
      </c>
      <c r="D30" s="93">
        <f t="shared" si="3"/>
        <v>0.375</v>
      </c>
      <c r="E30" s="94" t="str">
        <f>AC29</f>
        <v>Italy</v>
      </c>
      <c r="F30" s="59">
        <v>0</v>
      </c>
      <c r="G30" s="60">
        <v>1</v>
      </c>
      <c r="H30" s="101" t="str">
        <f>AC27</f>
        <v>Costa Rica</v>
      </c>
      <c r="I30" s="130" t="str">
        <f>INDEX(T,111,lang)</f>
        <v>Recife</v>
      </c>
      <c r="J30" s="131"/>
      <c r="K30" s="132"/>
      <c r="M30" s="24" t="str">
        <f>VLOOKUP(4,AB26:AL29,2,FALSE)</f>
        <v>England</v>
      </c>
      <c r="N30" s="31">
        <f>O30+P30+Q30</f>
        <v>3</v>
      </c>
      <c r="O30" s="31">
        <f>VLOOKUP(4,AB26:AL29,3,FALSE)</f>
        <v>0</v>
      </c>
      <c r="P30" s="31">
        <f>VLOOKUP(4,AB26:AL29,4,FALSE)</f>
        <v>1</v>
      </c>
      <c r="Q30" s="31">
        <f>VLOOKUP(4,AB26:AL29,5,FALSE)</f>
        <v>2</v>
      </c>
      <c r="R30" s="31" t="str">
        <f>VLOOKUP(4,AB26:AL29,6,FALSE) &amp; " - " &amp; VLOOKUP(4,AB26:AL29,7,FALSE)</f>
        <v>2 - 4</v>
      </c>
      <c r="S30" s="32">
        <f>O30*3+P30</f>
        <v>1</v>
      </c>
      <c r="U30" s="65">
        <f>DATE(2014,6,20)+TIME(5,0,0)+gmt_delta</f>
        <v>41810.375</v>
      </c>
      <c r="V30" s="71" t="str">
        <f t="shared" si="4"/>
        <v>Italy_lose</v>
      </c>
      <c r="W30" s="71" t="str">
        <f t="shared" si="2"/>
        <v>Costa Rica_win</v>
      </c>
      <c r="X30" s="66">
        <f t="shared" si="5"/>
        <v>0</v>
      </c>
      <c r="Y30" s="65">
        <f t="shared" si="6"/>
        <v>0</v>
      </c>
      <c r="Z30" s="65">
        <f t="shared" si="7"/>
        <v>0</v>
      </c>
      <c r="AD30" s="65">
        <f t="shared" ref="AD30:AM30" si="11">MAX(AD26:AD29)-MIN(AD26:AD29)+1</f>
        <v>3</v>
      </c>
      <c r="AE30" s="65">
        <f t="shared" si="11"/>
        <v>2</v>
      </c>
      <c r="AF30" s="65">
        <f t="shared" si="11"/>
        <v>3</v>
      </c>
      <c r="AG30" s="65">
        <f t="shared" si="11"/>
        <v>3</v>
      </c>
      <c r="AH30" s="65">
        <f t="shared" si="11"/>
        <v>4</v>
      </c>
      <c r="AI30" s="65">
        <f>MAX(AI26:AI29)-AI31+1</f>
        <v>60503</v>
      </c>
      <c r="AJ30" s="65">
        <f>MAX(AJ26:AJ29)-AJ31+1</f>
        <v>6</v>
      </c>
      <c r="AL30" s="65">
        <f t="shared" si="11"/>
        <v>7</v>
      </c>
      <c r="AM30" s="65">
        <f t="shared" si="11"/>
        <v>1</v>
      </c>
      <c r="AQ30" s="65">
        <f>MAX(AQ26:AQ29)-MIN(AQ26:AQ29)+1</f>
        <v>1</v>
      </c>
      <c r="AR30" s="65">
        <f>MAX(AR26:AR29)-MIN(AR26:AR29)+1</f>
        <v>1</v>
      </c>
      <c r="AS30" s="65">
        <f>MAX(AS26:AS29)-MIN(AS26:AS29)+1</f>
        <v>1</v>
      </c>
      <c r="AT30" s="65">
        <f>MAX(AT26:AT29)-MIN(AT26:AT29)+1</f>
        <v>1</v>
      </c>
      <c r="AU30" s="65">
        <f>MAX(AU26:AU29)-MIN(AU26:AU29)+1</f>
        <v>1</v>
      </c>
      <c r="AZ30" s="125">
        <v>52</v>
      </c>
      <c r="BA30" s="110" t="str">
        <f>AP26</f>
        <v>Costa Rica</v>
      </c>
      <c r="BB30" s="63">
        <v>1</v>
      </c>
      <c r="BC30" s="64">
        <v>5</v>
      </c>
      <c r="BD30" s="107"/>
      <c r="BE30" s="103"/>
      <c r="BF30" s="103"/>
      <c r="BG30" s="103"/>
      <c r="BH30" s="103"/>
      <c r="BI30" s="103"/>
      <c r="BJ30" s="104"/>
      <c r="BK30" s="103"/>
      <c r="BL30" s="103"/>
      <c r="BM30" s="103"/>
      <c r="BN30" s="103"/>
      <c r="BO30" s="103"/>
      <c r="BP30" s="104"/>
      <c r="BQ30" s="103"/>
      <c r="BR30" s="103"/>
      <c r="BS30" s="103"/>
      <c r="BT30" s="103"/>
      <c r="BU30" s="103"/>
    </row>
    <row r="31" spans="1:73">
      <c r="A31" s="90">
        <v>25</v>
      </c>
      <c r="B31" s="91" t="str">
        <f t="shared" si="0"/>
        <v>Fri</v>
      </c>
      <c r="C31" s="92" t="str">
        <f t="shared" si="1"/>
        <v>Jun 20, 2014</v>
      </c>
      <c r="D31" s="93">
        <f t="shared" si="3"/>
        <v>0.5</v>
      </c>
      <c r="E31" s="94" t="str">
        <f>AC32</f>
        <v>Switzerland</v>
      </c>
      <c r="F31" s="59">
        <v>2</v>
      </c>
      <c r="G31" s="60">
        <v>5</v>
      </c>
      <c r="H31" s="101" t="str">
        <f>AC34</f>
        <v>France</v>
      </c>
      <c r="I31" s="130" t="str">
        <f>INDEX(T,113,lang)</f>
        <v>Salvador</v>
      </c>
      <c r="J31" s="131"/>
      <c r="K31" s="132"/>
      <c r="U31" s="65">
        <f>DATE(2014,6,20)+TIME(8,0,0)+gmt_delta</f>
        <v>41810.5</v>
      </c>
      <c r="V31" s="71" t="str">
        <f t="shared" si="4"/>
        <v>Switzerland_lose</v>
      </c>
      <c r="W31" s="71" t="str">
        <f t="shared" si="2"/>
        <v>France_win</v>
      </c>
      <c r="X31" s="66">
        <f t="shared" si="5"/>
        <v>0</v>
      </c>
      <c r="Y31" s="65">
        <f t="shared" si="6"/>
        <v>0</v>
      </c>
      <c r="Z31" s="65">
        <f t="shared" si="7"/>
        <v>0</v>
      </c>
      <c r="AI31" s="65">
        <f>MIN(AI26:AI29)</f>
        <v>9802</v>
      </c>
      <c r="AJ31" s="65">
        <f>MIN(AJ26:AJ29)</f>
        <v>-2</v>
      </c>
      <c r="AZ31" s="126"/>
      <c r="BA31" s="111" t="str">
        <f>AP21</f>
        <v>Greece</v>
      </c>
      <c r="BB31" s="61">
        <v>1</v>
      </c>
      <c r="BC31" s="62">
        <v>3</v>
      </c>
      <c r="BD31" s="103"/>
      <c r="BE31" s="103"/>
      <c r="BF31" s="103"/>
      <c r="BG31" s="103"/>
      <c r="BH31" s="103"/>
      <c r="BI31" s="103"/>
      <c r="BJ31" s="104"/>
      <c r="BK31" s="103"/>
      <c r="BL31" s="103" t="str">
        <f>INDEX(T,24+MONTH(U77),lang) &amp; " " &amp; DAY(U77) &amp; ", " &amp; YEAR(U77) &amp; "   " &amp; TEXT(TIME(HOUR(U77),MINUTE(U77),0),"hh:mm")</f>
        <v>Jul 9, 2014   13:00</v>
      </c>
      <c r="BM31" s="103"/>
      <c r="BN31" s="103"/>
      <c r="BO31" s="113" t="str">
        <f>INDEX(T,114,lang)</f>
        <v>Sao Paulo</v>
      </c>
      <c r="BP31" s="104"/>
      <c r="BQ31" s="108"/>
      <c r="BR31" s="119" t="str">
        <f>INDEX(T,7,lang)</f>
        <v>Third-Place Play-Off</v>
      </c>
      <c r="BS31" s="120"/>
      <c r="BT31" s="120"/>
      <c r="BU31" s="121"/>
    </row>
    <row r="32" spans="1:73">
      <c r="A32" s="90">
        <v>26</v>
      </c>
      <c r="B32" s="91" t="str">
        <f t="shared" si="0"/>
        <v>Fri</v>
      </c>
      <c r="C32" s="92" t="str">
        <f t="shared" si="1"/>
        <v>Jun 20, 2014</v>
      </c>
      <c r="D32" s="93">
        <f t="shared" si="3"/>
        <v>0.625</v>
      </c>
      <c r="E32" s="94" t="str">
        <f>AC35</f>
        <v>Honduras</v>
      </c>
      <c r="F32" s="59">
        <v>1</v>
      </c>
      <c r="G32" s="60">
        <v>2</v>
      </c>
      <c r="H32" s="101" t="str">
        <f>AC33</f>
        <v>Ecuador</v>
      </c>
      <c r="I32" s="130" t="str">
        <f>INDEX(T,106,lang)</f>
        <v>Curitiba</v>
      </c>
      <c r="J32" s="131"/>
      <c r="K32" s="132"/>
      <c r="M32" s="57" t="str">
        <f>INDEX(T,9,lang) &amp; " " &amp; "E"</f>
        <v>Group E</v>
      </c>
      <c r="N32" s="58" t="str">
        <f>INDEX(T,10,lang)</f>
        <v>PL</v>
      </c>
      <c r="O32" s="58" t="str">
        <f>INDEX(T,11,lang)</f>
        <v>W</v>
      </c>
      <c r="P32" s="58" t="str">
        <f>INDEX(T,12,lang)</f>
        <v>DRAW</v>
      </c>
      <c r="Q32" s="58" t="str">
        <f>INDEX(T,13,lang)</f>
        <v>L</v>
      </c>
      <c r="R32" s="58" t="str">
        <f>INDEX(T,14,lang)</f>
        <v>GF - GA</v>
      </c>
      <c r="S32" s="58" t="str">
        <f>INDEX(T,15,lang)</f>
        <v>PNT</v>
      </c>
      <c r="U32" s="65">
        <f>DATE(2014,6,20)+TIME(11,0,0)+gmt_delta</f>
        <v>41810.625</v>
      </c>
      <c r="V32" s="71" t="str">
        <f t="shared" si="4"/>
        <v>Honduras_lose</v>
      </c>
      <c r="W32" s="71" t="str">
        <f t="shared" si="2"/>
        <v>Ecuador_win</v>
      </c>
      <c r="X32" s="66">
        <f t="shared" si="5"/>
        <v>0</v>
      </c>
      <c r="Y32" s="65">
        <f t="shared" si="6"/>
        <v>0</v>
      </c>
      <c r="Z32" s="65">
        <f t="shared" si="7"/>
        <v>0</v>
      </c>
      <c r="AB32" s="65">
        <f>COUNTIF(AO32:AO35,CONCATENATE("&gt;=",AO32))</f>
        <v>2</v>
      </c>
      <c r="AC32" s="66" t="str">
        <f>INDEX(T,67,lang)</f>
        <v>Switzerland</v>
      </c>
      <c r="AD32" s="65">
        <f>COUNTIF($V$7:$W$54,"=" &amp; AC32 &amp; "_win")</f>
        <v>2</v>
      </c>
      <c r="AE32" s="65">
        <f>COUNTIF($V$7:$W$54,"=" &amp; AC32 &amp; "_draw")</f>
        <v>0</v>
      </c>
      <c r="AF32" s="65">
        <f>COUNTIF($V$7:$W$54,"=" &amp; AC32 &amp; "_lose")</f>
        <v>1</v>
      </c>
      <c r="AG32" s="65">
        <f>SUMIF($E$7:$E$54,$AC32,$F$7:$F$54) + SUMIF($H$7:$H$54,$AC32,$G$7:$G$54)</f>
        <v>7</v>
      </c>
      <c r="AH32" s="65">
        <f>SUMIF($E$7:$E$54,$AC32,$G$7:$G$54) + SUMIF($H$7:$H$54,$AC32,$F$7:$F$54)</f>
        <v>6</v>
      </c>
      <c r="AI32" s="65">
        <f>(AG32-AH32)*100+AL32*10000+AG32</f>
        <v>60107</v>
      </c>
      <c r="AJ32" s="65">
        <f>AG32-AH32</f>
        <v>1</v>
      </c>
      <c r="AK32" s="65">
        <f>(AJ32-AJ37)/AJ36</f>
        <v>0.5714285714285714</v>
      </c>
      <c r="AL32" s="65">
        <f>AD32*3+AE32</f>
        <v>6</v>
      </c>
      <c r="AM32" s="65">
        <f>AQ32/AQ36*1000+AR32/AR36*100+AU32/AU36*10+AS32/AS36</f>
        <v>0</v>
      </c>
      <c r="AN32" s="65">
        <f>VLOOKUP(AC32,db_fifarank,2,FALSE)/2000000</f>
        <v>5.8049999999999996E-4</v>
      </c>
      <c r="AO32" s="66">
        <f>1000*AL32/AL36+100*AK32+10*AG32/AG36+1*AM32/AM36+AN32</f>
        <v>815.89343764285707</v>
      </c>
      <c r="AP32" s="67" t="str">
        <f>IF(SUM(AD32:AF35)=12,M33,INDEX(T,78,lang))</f>
        <v>France</v>
      </c>
      <c r="AQ32" s="68">
        <f>SUMPRODUCT(($V$7:$V$54=AC32&amp;"_win")*($X$7:$X$54))+SUMPRODUCT(($W$7:$W$54=AC32&amp;"_win")*($X$7:$X$54))</f>
        <v>0</v>
      </c>
      <c r="AR32" s="69">
        <f>SUMPRODUCT(($V$7:$V$54=AC32&amp;"_draw")*($X$7:$X$54))+SUMPRODUCT(($W$7:$W$54=AC32&amp;"_draw")*($X$7:$X$54))</f>
        <v>0</v>
      </c>
      <c r="AS32" s="69">
        <f>SUMPRODUCT(($E$7:$E$54=AC32)*($X$7:$X$54)*($F$7:$F$54))+SUMPRODUCT(($H$7:$H$54=AC32)*($X$7:$X$54)*($G$7:$G$54))</f>
        <v>0</v>
      </c>
      <c r="AT32" s="69">
        <f>SUMPRODUCT(($E$7:$E$54=AC32)*($X$7:$X$54)*($G$7:$G$54))+SUMPRODUCT(($H$7:$H$54=AC32)*($X$7:$X$54)*($F$7:$F$54))</f>
        <v>0</v>
      </c>
      <c r="AU32" s="69">
        <f>AS32-AT32</f>
        <v>0</v>
      </c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4"/>
      <c r="BK32" s="103"/>
      <c r="BL32" s="125">
        <v>62</v>
      </c>
      <c r="BM32" s="110" t="str">
        <f>W71</f>
        <v>Netherlands</v>
      </c>
      <c r="BN32" s="63">
        <v>0</v>
      </c>
      <c r="BO32" s="64">
        <v>2</v>
      </c>
      <c r="BP32" s="107"/>
      <c r="BQ32" s="108"/>
      <c r="BR32" s="122"/>
      <c r="BS32" s="123"/>
      <c r="BT32" s="123"/>
      <c r="BU32" s="124"/>
    </row>
    <row r="33" spans="1:73">
      <c r="A33" s="90">
        <v>27</v>
      </c>
      <c r="B33" s="91" t="str">
        <f t="shared" si="0"/>
        <v>Sat</v>
      </c>
      <c r="C33" s="92" t="str">
        <f t="shared" si="1"/>
        <v>Jun 21, 2014</v>
      </c>
      <c r="D33" s="93">
        <f t="shared" si="3"/>
        <v>0.375</v>
      </c>
      <c r="E33" s="94" t="str">
        <f>AC38</f>
        <v>Argentina</v>
      </c>
      <c r="F33" s="59">
        <v>1</v>
      </c>
      <c r="G33" s="60">
        <v>0</v>
      </c>
      <c r="H33" s="101" t="str">
        <f>AC40</f>
        <v>Iran</v>
      </c>
      <c r="I33" s="130" t="str">
        <f>INDEX(T,103,lang)</f>
        <v>Belo Horizonte</v>
      </c>
      <c r="J33" s="131"/>
      <c r="K33" s="132"/>
      <c r="M33" s="22" t="str">
        <f>VLOOKUP(1,AB32:AL35,2,FALSE)</f>
        <v>France</v>
      </c>
      <c r="N33" s="27">
        <f>O33+P33+Q33</f>
        <v>3</v>
      </c>
      <c r="O33" s="27">
        <f>VLOOKUP(1,AB32:AL35,3,FALSE)</f>
        <v>2</v>
      </c>
      <c r="P33" s="27">
        <f>VLOOKUP(1,AB32:AL35,4,FALSE)</f>
        <v>1</v>
      </c>
      <c r="Q33" s="27">
        <f>VLOOKUP(1,AB32:AL35,5,FALSE)</f>
        <v>0</v>
      </c>
      <c r="R33" s="27" t="str">
        <f>VLOOKUP(1,AB32:AL35,6,FALSE) &amp; " - " &amp; VLOOKUP(1,AB32:AL35,7,FALSE)</f>
        <v>8 - 2</v>
      </c>
      <c r="S33" s="28">
        <f>O33*3+P33</f>
        <v>7</v>
      </c>
      <c r="U33" s="65">
        <f>DATE(2014,6,21)+TIME(5,0,0)+gmt_delta</f>
        <v>41811.375</v>
      </c>
      <c r="V33" s="71" t="str">
        <f t="shared" si="4"/>
        <v>Argentina_win</v>
      </c>
      <c r="W33" s="71" t="str">
        <f t="shared" si="2"/>
        <v>Iran_lose</v>
      </c>
      <c r="X33" s="66">
        <f t="shared" si="5"/>
        <v>0</v>
      </c>
      <c r="Y33" s="65">
        <f t="shared" si="6"/>
        <v>0</v>
      </c>
      <c r="Z33" s="65">
        <f t="shared" si="7"/>
        <v>0</v>
      </c>
      <c r="AB33" s="65">
        <f>COUNTIF(AO32:AO35,CONCATENATE("&gt;=",AO33))</f>
        <v>3</v>
      </c>
      <c r="AC33" s="66" t="str">
        <f>INDEX(T,59,lang)</f>
        <v>Ecuador</v>
      </c>
      <c r="AD33" s="65">
        <f>COUNTIF($V$7:$W$54,"=" &amp; AC33 &amp; "_win")</f>
        <v>1</v>
      </c>
      <c r="AE33" s="65">
        <f>COUNTIF($V$7:$W$54,"=" &amp; AC33 &amp; "_draw")</f>
        <v>1</v>
      </c>
      <c r="AF33" s="65">
        <f>COUNTIF($V$7:$W$54,"=" &amp; AC33 &amp; "_lose")</f>
        <v>1</v>
      </c>
      <c r="AG33" s="65">
        <f>SUMIF($E$7:$E$54,$AC33,$F$7:$F$54) + SUMIF($H$7:$H$54,$AC33,$G$7:$G$54)</f>
        <v>3</v>
      </c>
      <c r="AH33" s="65">
        <f>SUMIF($E$7:$E$54,$AC33,$G$7:$G$54) + SUMIF($H$7:$H$54,$AC33,$F$7:$F$54)</f>
        <v>3</v>
      </c>
      <c r="AI33" s="65">
        <f>(AG33-AH33)*100+AL33*10000+AG33</f>
        <v>40003</v>
      </c>
      <c r="AJ33" s="65">
        <f>AG33-AH33</f>
        <v>0</v>
      </c>
      <c r="AK33" s="65">
        <f>(AJ33-AJ37)/AJ36</f>
        <v>0.5</v>
      </c>
      <c r="AL33" s="65">
        <f>AD33*3+AE33</f>
        <v>4</v>
      </c>
      <c r="AM33" s="65">
        <f>AQ33/AQ36*1000+AR33/AR36*100+AU33/AU36*10+AS33/AS36</f>
        <v>0</v>
      </c>
      <c r="AN33" s="65">
        <f>VLOOKUP(AC33,db_fifarank,2,FALSE)/2000000</f>
        <v>3.97E-4</v>
      </c>
      <c r="AO33" s="66">
        <f>1000*AL33/AL36+100*AK33+10*AG33/AG36+1*AM33/AM36+AN33</f>
        <v>553.75039700000002</v>
      </c>
      <c r="AP33" s="67" t="str">
        <f>IF(SUM(AD32:AF35)=12,M34,INDEX(T,79,lang))</f>
        <v>Switzerland</v>
      </c>
      <c r="AQ33" s="68">
        <f>SUMPRODUCT(($V$7:$V$54=AC33&amp;"_win")*($X$7:$X$54))+SUMPRODUCT(($W$7:$W$54=AC33&amp;"_win")*($X$7:$X$54))</f>
        <v>0</v>
      </c>
      <c r="AR33" s="69">
        <f>SUMPRODUCT(($V$7:$V$54=AC33&amp;"_draw")*($X$7:$X$54))+SUMPRODUCT(($W$7:$W$54=AC33&amp;"_draw")*($X$7:$X$54))</f>
        <v>0</v>
      </c>
      <c r="AS33" s="69">
        <f>SUMPRODUCT(($E$7:$E$54=AC33)*($X$7:$X$54)*($F$7:$F$54))+SUMPRODUCT(($H$7:$H$54=AC33)*($X$7:$X$54)*($G$7:$G$54))</f>
        <v>0</v>
      </c>
      <c r="AT33" s="69">
        <f>SUMPRODUCT(($E$7:$E$54=AC33)*($X$7:$X$54)*($G$7:$G$54))+SUMPRODUCT(($H$7:$H$54=AC33)*($X$7:$X$54)*($F$7:$F$54))</f>
        <v>0</v>
      </c>
      <c r="AU33" s="69">
        <f>AS33-AT33</f>
        <v>0</v>
      </c>
      <c r="AZ33" s="103" t="str">
        <f>INDEX(T,24+MONTH(U64),lang) &amp; " " &amp; DAY(U64) &amp; ", " &amp; YEAR(U64) &amp; "   " &amp; TEXT(TIME(HOUR(U64),MINUTE(U64),0),"hh:mm")</f>
        <v>Jul 1, 2014   09:00</v>
      </c>
      <c r="BA33" s="103"/>
      <c r="BB33" s="103"/>
      <c r="BC33" s="113" t="str">
        <f>INDEX(T,114,lang)</f>
        <v>Sao Paulo</v>
      </c>
      <c r="BD33" s="103"/>
      <c r="BE33" s="103"/>
      <c r="BF33" s="103"/>
      <c r="BG33" s="103"/>
      <c r="BH33" s="103"/>
      <c r="BI33" s="103"/>
      <c r="BJ33" s="104"/>
      <c r="BK33" s="105"/>
      <c r="BL33" s="126"/>
      <c r="BM33" s="111" t="str">
        <f>W72</f>
        <v>Argentina</v>
      </c>
      <c r="BN33" s="61">
        <v>0</v>
      </c>
      <c r="BO33" s="62">
        <v>4</v>
      </c>
      <c r="BP33" s="108"/>
      <c r="BQ33" s="108"/>
      <c r="BR33" s="103"/>
      <c r="BS33" s="103"/>
      <c r="BT33" s="103"/>
      <c r="BU33" s="103"/>
    </row>
    <row r="34" spans="1:73">
      <c r="A34" s="90">
        <v>28</v>
      </c>
      <c r="B34" s="91" t="str">
        <f t="shared" si="0"/>
        <v>Sat</v>
      </c>
      <c r="C34" s="92" t="str">
        <f t="shared" si="1"/>
        <v>Jun 21, 2014</v>
      </c>
      <c r="D34" s="93">
        <f t="shared" si="3"/>
        <v>0.5</v>
      </c>
      <c r="E34" s="94" t="str">
        <f>AC44</f>
        <v>Germany</v>
      </c>
      <c r="F34" s="59">
        <v>2</v>
      </c>
      <c r="G34" s="60">
        <v>2</v>
      </c>
      <c r="H34" s="101" t="str">
        <f>AC46</f>
        <v>Ghana</v>
      </c>
      <c r="I34" s="130" t="str">
        <f>INDEX(T,107,lang)</f>
        <v>Fortaleza</v>
      </c>
      <c r="J34" s="131"/>
      <c r="K34" s="132"/>
      <c r="M34" s="23" t="str">
        <f>VLOOKUP(2,AB32:AL35,2,FALSE)</f>
        <v>Switzerland</v>
      </c>
      <c r="N34" s="29">
        <f>O34+P34+Q34</f>
        <v>3</v>
      </c>
      <c r="O34" s="29">
        <f>VLOOKUP(2,AB32:AL35,3,FALSE)</f>
        <v>2</v>
      </c>
      <c r="P34" s="29">
        <f>VLOOKUP(2,AB32:AL35,4,FALSE)</f>
        <v>0</v>
      </c>
      <c r="Q34" s="29">
        <f>VLOOKUP(2,AB32:AL35,5,FALSE)</f>
        <v>1</v>
      </c>
      <c r="R34" s="29" t="str">
        <f>VLOOKUP(2,AB32:AL35,6,FALSE) &amp; " - " &amp; VLOOKUP(2,AB32:AL35,7,FALSE)</f>
        <v>7 - 6</v>
      </c>
      <c r="S34" s="30">
        <f>O34*3+P34</f>
        <v>6</v>
      </c>
      <c r="U34" s="65">
        <f>DATE(2014,6,21)+TIME(8,0,0)+gmt_delta</f>
        <v>41811.5</v>
      </c>
      <c r="V34" s="71" t="str">
        <f t="shared" si="4"/>
        <v>Germany_draw</v>
      </c>
      <c r="W34" s="71" t="str">
        <f t="shared" si="2"/>
        <v>Ghana_draw</v>
      </c>
      <c r="X34" s="66">
        <f t="shared" si="5"/>
        <v>0</v>
      </c>
      <c r="Y34" s="65">
        <f t="shared" si="6"/>
        <v>0</v>
      </c>
      <c r="Z34" s="65">
        <f t="shared" si="7"/>
        <v>0</v>
      </c>
      <c r="AB34" s="65">
        <f>COUNTIF(AO32:AO35,CONCATENATE("&gt;=",AO34))</f>
        <v>1</v>
      </c>
      <c r="AC34" s="66" t="str">
        <f>INDEX(T,41,lang)</f>
        <v>France</v>
      </c>
      <c r="AD34" s="65">
        <f>COUNTIF($V$7:$W$54,"=" &amp; AC34 &amp; "_win")</f>
        <v>2</v>
      </c>
      <c r="AE34" s="65">
        <f>COUNTIF($V$7:$W$54,"=" &amp; AC34 &amp; "_draw")</f>
        <v>1</v>
      </c>
      <c r="AF34" s="65">
        <f>COUNTIF($V$7:$W$54,"=" &amp; AC34 &amp; "_lose")</f>
        <v>0</v>
      </c>
      <c r="AG34" s="65">
        <f>SUMIF($E$7:$E$54,$AC34,$F$7:$F$54) + SUMIF($H$7:$H$54,$AC34,$G$7:$G$54)</f>
        <v>8</v>
      </c>
      <c r="AH34" s="65">
        <f>SUMIF($E$7:$E$54,$AC34,$G$7:$G$54) + SUMIF($H$7:$H$54,$AC34,$F$7:$F$54)</f>
        <v>2</v>
      </c>
      <c r="AI34" s="65">
        <f>(AG34-AH34)*100+AL34*10000+AG34</f>
        <v>70608</v>
      </c>
      <c r="AJ34" s="65">
        <f>AG34-AH34</f>
        <v>6</v>
      </c>
      <c r="AK34" s="65">
        <f>(AJ34-AJ37)/AJ36</f>
        <v>0.9285714285714286</v>
      </c>
      <c r="AL34" s="65">
        <f>AD34*3+AE34</f>
        <v>7</v>
      </c>
      <c r="AM34" s="65">
        <f>AQ34/AQ36*1000+AR34/AR36*100+AU34/AU36*10+AS34/AS36</f>
        <v>0</v>
      </c>
      <c r="AN34" s="65">
        <f>VLOOKUP(AC34,db_fifarank,2,FALSE)/2000000</f>
        <v>4.6749999999999998E-4</v>
      </c>
      <c r="AO34" s="66">
        <f>1000*AL34/AL36+100*AK34+10*AG34/AG36+1*AM34/AM36+AN34</f>
        <v>977.8576103571429</v>
      </c>
      <c r="AQ34" s="68">
        <f>SUMPRODUCT(($V$7:$V$54=AC34&amp;"_win")*($X$7:$X$54))+SUMPRODUCT(($W$7:$W$54=AC34&amp;"_win")*($X$7:$X$54))</f>
        <v>0</v>
      </c>
      <c r="AR34" s="69">
        <f>SUMPRODUCT(($V$7:$V$54=AC34&amp;"_draw")*($X$7:$X$54))+SUMPRODUCT(($W$7:$W$54=AC34&amp;"_draw")*($X$7:$X$54))</f>
        <v>0</v>
      </c>
      <c r="AS34" s="69">
        <f>SUMPRODUCT(($E$7:$E$54=AC34)*($X$7:$X$54)*($F$7:$F$54))+SUMPRODUCT(($H$7:$H$54=AC34)*($X$7:$X$54)*($G$7:$G$54))</f>
        <v>0</v>
      </c>
      <c r="AT34" s="69">
        <f>SUMPRODUCT(($E$7:$E$54=AC34)*($X$7:$X$54)*($G$7:$G$54))+SUMPRODUCT(($H$7:$H$54=AC34)*($X$7:$X$54)*($F$7:$F$54))</f>
        <v>0</v>
      </c>
      <c r="AU34" s="69">
        <f>AS34-AT34</f>
        <v>0</v>
      </c>
      <c r="AZ34" s="125">
        <v>55</v>
      </c>
      <c r="BA34" s="110" t="str">
        <f>AP38</f>
        <v>Argentina</v>
      </c>
      <c r="BB34" s="63">
        <v>1</v>
      </c>
      <c r="BC34" s="64"/>
      <c r="BD34" s="103"/>
      <c r="BE34" s="103"/>
      <c r="BF34" s="103"/>
      <c r="BG34" s="103"/>
      <c r="BH34" s="103"/>
      <c r="BI34" s="103"/>
      <c r="BJ34" s="104"/>
      <c r="BK34" s="103"/>
      <c r="BL34" s="103"/>
      <c r="BM34" s="103"/>
      <c r="BN34" s="103"/>
      <c r="BO34" s="103"/>
      <c r="BP34" s="103"/>
      <c r="BQ34" s="103"/>
      <c r="BR34" s="103" t="str">
        <f>INDEX(T,24+MONTH(U81),lang) &amp; " " &amp; DAY(U81) &amp; ", " &amp; YEAR(U81) &amp; "   " &amp; TEXT(TIME(HOUR(U81),MINUTE(U81),0),"hh:mm")</f>
        <v>Jul 12, 2014   13:00</v>
      </c>
      <c r="BS34" s="103"/>
      <c r="BT34" s="103"/>
      <c r="BU34" s="113" t="str">
        <f>INDEX(T,104,lang)</f>
        <v>Brasilia</v>
      </c>
    </row>
    <row r="35" spans="1:73">
      <c r="A35" s="90">
        <v>29</v>
      </c>
      <c r="B35" s="91" t="str">
        <f t="shared" si="0"/>
        <v>Sat</v>
      </c>
      <c r="C35" s="92" t="str">
        <f t="shared" si="1"/>
        <v>Jun 21, 2014</v>
      </c>
      <c r="D35" s="93">
        <f t="shared" si="3"/>
        <v>0.625</v>
      </c>
      <c r="E35" s="94" t="str">
        <f>AC41</f>
        <v>Nigeria</v>
      </c>
      <c r="F35" s="59">
        <v>1</v>
      </c>
      <c r="G35" s="60">
        <v>0</v>
      </c>
      <c r="H35" s="101" t="str">
        <f>AC39</f>
        <v>Bosnia-Herzegovina</v>
      </c>
      <c r="I35" s="130" t="str">
        <f>INDEX(T,105,lang)</f>
        <v>Cuiaba</v>
      </c>
      <c r="J35" s="131"/>
      <c r="K35" s="132"/>
      <c r="M35" s="23" t="str">
        <f>VLOOKUP(3,AB32:AL35,2,FALSE)</f>
        <v>Ecuador</v>
      </c>
      <c r="N35" s="29">
        <f>O35+P35+Q35</f>
        <v>3</v>
      </c>
      <c r="O35" s="29">
        <f>VLOOKUP(3,AB32:AL35,3,FALSE)</f>
        <v>1</v>
      </c>
      <c r="P35" s="29">
        <f>VLOOKUP(3,AB32:AL35,4,FALSE)</f>
        <v>1</v>
      </c>
      <c r="Q35" s="29">
        <f>VLOOKUP(3,AB32:AL35,5,FALSE)</f>
        <v>1</v>
      </c>
      <c r="R35" s="29" t="str">
        <f>VLOOKUP(3,AB32:AL35,6,FALSE) &amp; " - " &amp; VLOOKUP(3,AB32:AL35,7,FALSE)</f>
        <v>3 - 3</v>
      </c>
      <c r="S35" s="30">
        <f>O35*3+P35</f>
        <v>4</v>
      </c>
      <c r="U35" s="65">
        <f>DATE(2014,6,21)+TIME(11,0,0)+gmt_delta</f>
        <v>41811.625</v>
      </c>
      <c r="V35" s="71" t="str">
        <f t="shared" si="4"/>
        <v>Nigeria_win</v>
      </c>
      <c r="W35" s="71" t="str">
        <f t="shared" si="2"/>
        <v>Bosnia-Herzegovina_lose</v>
      </c>
      <c r="X35" s="66">
        <f t="shared" si="5"/>
        <v>0</v>
      </c>
      <c r="Y35" s="65">
        <f t="shared" si="6"/>
        <v>0</v>
      </c>
      <c r="Z35" s="65">
        <f t="shared" si="7"/>
        <v>0</v>
      </c>
      <c r="AB35" s="65">
        <f>COUNTIF(AO32:AO35,CONCATENATE("&gt;=",AO35))</f>
        <v>4</v>
      </c>
      <c r="AC35" s="66" t="str">
        <f>INDEX(T,68,lang)</f>
        <v>Honduras</v>
      </c>
      <c r="AD35" s="65">
        <f>COUNTIF($V$7:$W$54,"=" &amp; AC35 &amp; "_win")</f>
        <v>0</v>
      </c>
      <c r="AE35" s="65">
        <f>COUNTIF($V$7:$W$54,"=" &amp; AC35 &amp; "_draw")</f>
        <v>0</v>
      </c>
      <c r="AF35" s="65">
        <f>COUNTIF($V$7:$W$54,"=" &amp; AC35 &amp; "_lose")</f>
        <v>3</v>
      </c>
      <c r="AG35" s="65">
        <f>SUMIF($E$7:$E$54,$AC35,$F$7:$F$54) + SUMIF($H$7:$H$54,$AC35,$G$7:$G$54)</f>
        <v>1</v>
      </c>
      <c r="AH35" s="65">
        <f>SUMIF($E$7:$E$54,$AC35,$G$7:$G$54) + SUMIF($H$7:$H$54,$AC35,$F$7:$F$54)</f>
        <v>8</v>
      </c>
      <c r="AI35" s="65">
        <f>(AG35-AH35)*100+AL35*10000+AG35</f>
        <v>-699</v>
      </c>
      <c r="AJ35" s="65">
        <f>AG35-AH35</f>
        <v>-7</v>
      </c>
      <c r="AK35" s="65">
        <f>(AJ35-AJ37)/AJ36</f>
        <v>0</v>
      </c>
      <c r="AL35" s="65">
        <f>AD35*3+AE35</f>
        <v>0</v>
      </c>
      <c r="AM35" s="65">
        <f>AQ35/AQ36*1000+AR35/AR36*100+AU35/AU36*10+AS35/AS36</f>
        <v>0</v>
      </c>
      <c r="AN35" s="65">
        <f>VLOOKUP(AC35,db_fifarank,2,FALSE)/2000000</f>
        <v>3.7950000000000001E-4</v>
      </c>
      <c r="AO35" s="66">
        <f>1000*AL35/AL36+100*AK35+10*AG35/AG36+1*AM35/AM36+AN35</f>
        <v>1.2503795</v>
      </c>
      <c r="AQ35" s="68">
        <f>SUMPRODUCT(($V$7:$V$54=AC35&amp;"_win")*($X$7:$X$54))+SUMPRODUCT(($W$7:$W$54=AC35&amp;"_win")*($X$7:$X$54))</f>
        <v>0</v>
      </c>
      <c r="AR35" s="69">
        <f>SUMPRODUCT(($V$7:$V$54=AC35&amp;"_draw")*($X$7:$X$54))+SUMPRODUCT(($W$7:$W$54=AC35&amp;"_draw")*($X$7:$X$54))</f>
        <v>0</v>
      </c>
      <c r="AS35" s="69">
        <f>SUMPRODUCT(($E$7:$E$54=AC35)*($X$7:$X$54)*($F$7:$F$54))+SUMPRODUCT(($H$7:$H$54=AC35)*($X$7:$X$54)*($G$7:$G$54))</f>
        <v>0</v>
      </c>
      <c r="AT35" s="69">
        <f>SUMPRODUCT(($E$7:$E$54=AC35)*($X$7:$X$54)*($G$7:$G$54))+SUMPRODUCT(($H$7:$H$54=AC35)*($X$7:$X$54)*($F$7:$F$54))</f>
        <v>0</v>
      </c>
      <c r="AU35" s="69">
        <f>AS35-AT35</f>
        <v>0</v>
      </c>
      <c r="AZ35" s="126"/>
      <c r="BA35" s="111" t="str">
        <f>AP33</f>
        <v>Switzerland</v>
      </c>
      <c r="BB35" s="61">
        <v>0</v>
      </c>
      <c r="BC35" s="62"/>
      <c r="BD35" s="106"/>
      <c r="BE35" s="103"/>
      <c r="BF35" s="103" t="str">
        <f>INDEX(T,24+MONTH(U72),lang) &amp; " " &amp; DAY(U72) &amp; ", " &amp; YEAR(U72) &amp; "   " &amp; TEXT(TIME(HOUR(U72),MINUTE(U72),0),"hh:mm")</f>
        <v>Jul 5, 2014   09:00</v>
      </c>
      <c r="BG35" s="103"/>
      <c r="BH35" s="103"/>
      <c r="BI35" s="113" t="str">
        <f>INDEX(T,104,lang)</f>
        <v>Brasilia</v>
      </c>
      <c r="BJ35" s="104"/>
      <c r="BK35" s="103"/>
      <c r="BL35" s="103"/>
      <c r="BM35" s="103"/>
      <c r="BN35" s="103"/>
      <c r="BO35" s="103"/>
      <c r="BP35" s="103"/>
      <c r="BQ35" s="103"/>
      <c r="BR35" s="125">
        <v>63</v>
      </c>
      <c r="BS35" s="110" t="str">
        <f>AA76</f>
        <v>Brazil</v>
      </c>
      <c r="BT35" s="63">
        <v>0</v>
      </c>
      <c r="BU35" s="64"/>
    </row>
    <row r="36" spans="1:73">
      <c r="A36" s="90">
        <v>30</v>
      </c>
      <c r="B36" s="91" t="str">
        <f t="shared" si="0"/>
        <v>Sun</v>
      </c>
      <c r="C36" s="92" t="str">
        <f t="shared" si="1"/>
        <v>Jun 22, 2014</v>
      </c>
      <c r="D36" s="93">
        <f t="shared" si="3"/>
        <v>0.5</v>
      </c>
      <c r="E36" s="94" t="str">
        <f>AC53</f>
        <v>Korea Republic</v>
      </c>
      <c r="F36" s="59">
        <v>2</v>
      </c>
      <c r="G36" s="60">
        <v>4</v>
      </c>
      <c r="H36" s="101" t="str">
        <f>AC51</f>
        <v>Algeria</v>
      </c>
      <c r="I36" s="130" t="str">
        <f>INDEX(T,110,lang)</f>
        <v>Porto Alegre</v>
      </c>
      <c r="J36" s="131"/>
      <c r="K36" s="132"/>
      <c r="M36" s="24" t="str">
        <f>VLOOKUP(4,AB32:AL35,2,FALSE)</f>
        <v>Honduras</v>
      </c>
      <c r="N36" s="31">
        <f>O36+P36+Q36</f>
        <v>3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3</v>
      </c>
      <c r="R36" s="31" t="str">
        <f>VLOOKUP(4,AB32:AL35,6,FALSE) &amp; " - " &amp; VLOOKUP(4,AB32:AL35,7,FALSE)</f>
        <v>1 - 8</v>
      </c>
      <c r="S36" s="32">
        <f>O36*3+P36</f>
        <v>0</v>
      </c>
      <c r="U36" s="65">
        <f>DATE(2014,6,22)+TIME(8,0,0)+gmt_delta</f>
        <v>41812.5</v>
      </c>
      <c r="V36" s="71" t="str">
        <f t="shared" si="4"/>
        <v>Korea Republic_lose</v>
      </c>
      <c r="W36" s="71" t="str">
        <f t="shared" si="2"/>
        <v>Algeria_win</v>
      </c>
      <c r="X36" s="66">
        <f t="shared" si="5"/>
        <v>0</v>
      </c>
      <c r="Y36" s="65">
        <f t="shared" si="6"/>
        <v>0</v>
      </c>
      <c r="Z36" s="65">
        <f t="shared" si="7"/>
        <v>0</v>
      </c>
      <c r="AD36" s="65">
        <f t="shared" ref="AD36:AM36" si="12">MAX(AD32:AD35)-MIN(AD32:AD35)+1</f>
        <v>3</v>
      </c>
      <c r="AE36" s="65">
        <f t="shared" si="12"/>
        <v>2</v>
      </c>
      <c r="AF36" s="65">
        <f t="shared" si="12"/>
        <v>4</v>
      </c>
      <c r="AG36" s="65">
        <f t="shared" si="12"/>
        <v>8</v>
      </c>
      <c r="AH36" s="65">
        <f t="shared" si="12"/>
        <v>7</v>
      </c>
      <c r="AI36" s="65">
        <f>MAX(AI32:AI35)-AI37+1</f>
        <v>71308</v>
      </c>
      <c r="AJ36" s="65">
        <f>MAX(AJ32:AJ35)-AJ37+1</f>
        <v>14</v>
      </c>
      <c r="AL36" s="65">
        <f t="shared" si="12"/>
        <v>8</v>
      </c>
      <c r="AM36" s="65">
        <f t="shared" si="12"/>
        <v>1</v>
      </c>
      <c r="AQ36" s="65">
        <f>MAX(AQ32:AQ35)-MIN(AQ32:AQ35)+1</f>
        <v>1</v>
      </c>
      <c r="AR36" s="65">
        <f>MAX(AR32:AR35)-MIN(AR32:AR35)+1</f>
        <v>1</v>
      </c>
      <c r="AS36" s="65">
        <f>MAX(AS32:AS35)-MIN(AS32:AS35)+1</f>
        <v>1</v>
      </c>
      <c r="AT36" s="65">
        <f>MAX(AT32:AT35)-MIN(AT32:AT35)+1</f>
        <v>1</v>
      </c>
      <c r="AU36" s="65">
        <f>MAX(AU32:AU35)-MIN(AU32:AU35)+1</f>
        <v>1</v>
      </c>
      <c r="AZ36" s="103"/>
      <c r="BA36" s="103"/>
      <c r="BB36" s="103"/>
      <c r="BC36" s="103"/>
      <c r="BD36" s="104"/>
      <c r="BE36" s="103"/>
      <c r="BF36" s="125">
        <v>60</v>
      </c>
      <c r="BG36" s="110" t="str">
        <f>W64</f>
        <v>Argentina</v>
      </c>
      <c r="BH36" s="63">
        <v>1</v>
      </c>
      <c r="BI36" s="64"/>
      <c r="BJ36" s="107"/>
      <c r="BK36" s="103"/>
      <c r="BL36" s="103"/>
      <c r="BM36" s="103"/>
      <c r="BN36" s="103"/>
      <c r="BO36" s="103"/>
      <c r="BP36" s="103"/>
      <c r="BQ36" s="103"/>
      <c r="BR36" s="126"/>
      <c r="BS36" s="111" t="str">
        <f>AA77</f>
        <v>Netherlands</v>
      </c>
      <c r="BT36" s="61">
        <v>3</v>
      </c>
      <c r="BU36" s="62"/>
    </row>
    <row r="37" spans="1:73">
      <c r="A37" s="90">
        <v>31</v>
      </c>
      <c r="B37" s="91" t="str">
        <f t="shared" si="0"/>
        <v>Sun</v>
      </c>
      <c r="C37" s="92" t="str">
        <f t="shared" si="1"/>
        <v>Jun 22, 2014</v>
      </c>
      <c r="D37" s="93">
        <f t="shared" si="3"/>
        <v>0.625</v>
      </c>
      <c r="E37" s="94" t="str">
        <f>AC47</f>
        <v>USA</v>
      </c>
      <c r="F37" s="59">
        <v>2</v>
      </c>
      <c r="G37" s="60">
        <v>2</v>
      </c>
      <c r="H37" s="101" t="str">
        <f>AC45</f>
        <v>Portugal</v>
      </c>
      <c r="I37" s="130" t="str">
        <f>INDEX(T,108,lang)</f>
        <v>Manaus</v>
      </c>
      <c r="J37" s="131"/>
      <c r="K37" s="132"/>
      <c r="U37" s="65">
        <f>DATE(2014,6,22)+TIME(11,0,0)+gmt_delta</f>
        <v>41812.625</v>
      </c>
      <c r="V37" s="71" t="str">
        <f t="shared" si="4"/>
        <v>USA_draw</v>
      </c>
      <c r="W37" s="71" t="str">
        <f t="shared" si="2"/>
        <v>Portugal_draw</v>
      </c>
      <c r="X37" s="66">
        <f t="shared" si="5"/>
        <v>0</v>
      </c>
      <c r="Y37" s="65">
        <f t="shared" si="6"/>
        <v>0</v>
      </c>
      <c r="Z37" s="65">
        <f t="shared" si="7"/>
        <v>0</v>
      </c>
      <c r="AI37" s="65">
        <f>MIN(AI32:AI35)</f>
        <v>-699</v>
      </c>
      <c r="AJ37" s="65">
        <f>MIN(AJ32:AJ35)</f>
        <v>-7</v>
      </c>
      <c r="AZ37" s="103" t="str">
        <f>INDEX(T,24+MONTH(U65),lang) &amp; " " &amp; DAY(U65) &amp; ", " &amp; YEAR(U65) &amp; "   " &amp; TEXT(TIME(HOUR(U65),MINUTE(U65),0),"hh:mm")</f>
        <v>Jul 1, 2014   13:00</v>
      </c>
      <c r="BA37" s="103"/>
      <c r="BB37" s="103"/>
      <c r="BC37" s="113" t="str">
        <f>INDEX(T,113,lang)</f>
        <v>Salvador</v>
      </c>
      <c r="BD37" s="104"/>
      <c r="BE37" s="105"/>
      <c r="BF37" s="126"/>
      <c r="BG37" s="111" t="str">
        <f>W65</f>
        <v>Belgium</v>
      </c>
      <c r="BH37" s="61">
        <v>0</v>
      </c>
      <c r="BI37" s="62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</row>
    <row r="38" spans="1:73">
      <c r="A38" s="90">
        <v>32</v>
      </c>
      <c r="B38" s="91" t="str">
        <f t="shared" si="0"/>
        <v>Sun</v>
      </c>
      <c r="C38" s="92" t="str">
        <f t="shared" si="1"/>
        <v>Jun 22, 2014</v>
      </c>
      <c r="D38" s="93">
        <f t="shared" si="3"/>
        <v>0.375</v>
      </c>
      <c r="E38" s="94" t="str">
        <f>AC50</f>
        <v>Belgium</v>
      </c>
      <c r="F38" s="59">
        <v>1</v>
      </c>
      <c r="G38" s="60">
        <v>0</v>
      </c>
      <c r="H38" s="101" t="str">
        <f>AC52</f>
        <v>Russia</v>
      </c>
      <c r="I38" s="130" t="str">
        <f>INDEX(T,112,lang)</f>
        <v>Rio De Janeiro</v>
      </c>
      <c r="J38" s="131"/>
      <c r="K38" s="132"/>
      <c r="M38" s="57" t="str">
        <f>INDEX(T,9,lang) &amp; " " &amp; "F"</f>
        <v>Group F</v>
      </c>
      <c r="N38" s="58" t="str">
        <f>INDEX(T,10,lang)</f>
        <v>PL</v>
      </c>
      <c r="O38" s="58" t="str">
        <f>INDEX(T,11,lang)</f>
        <v>W</v>
      </c>
      <c r="P38" s="58" t="str">
        <f>INDEX(T,12,lang)</f>
        <v>DRAW</v>
      </c>
      <c r="Q38" s="58" t="str">
        <f>INDEX(T,13,lang)</f>
        <v>L</v>
      </c>
      <c r="R38" s="58" t="str">
        <f>INDEX(T,14,lang)</f>
        <v>GF - GA</v>
      </c>
      <c r="S38" s="58" t="str">
        <f>INDEX(T,15,lang)</f>
        <v>PNT</v>
      </c>
      <c r="U38" s="65">
        <f>DATE(2014,6,22)+TIME(5,0,0)+gmt_delta</f>
        <v>41812.375</v>
      </c>
      <c r="V38" s="71" t="str">
        <f t="shared" si="4"/>
        <v>Belgium_win</v>
      </c>
      <c r="W38" s="71" t="str">
        <f t="shared" si="2"/>
        <v>Russia_lose</v>
      </c>
      <c r="X38" s="66">
        <f t="shared" si="5"/>
        <v>0</v>
      </c>
      <c r="Y38" s="65">
        <f t="shared" si="6"/>
        <v>0</v>
      </c>
      <c r="Z38" s="65">
        <f t="shared" si="7"/>
        <v>0</v>
      </c>
      <c r="AB38" s="65">
        <f>COUNTIF(AO38:AO41,CONCATENATE("&gt;=",AO38))</f>
        <v>1</v>
      </c>
      <c r="AC38" s="66" t="str">
        <f>INDEX(T,42,lang)</f>
        <v>Argentina</v>
      </c>
      <c r="AD38" s="65">
        <f>COUNTIF($V$7:$W$54,"=" &amp; AC38 &amp; "_win")</f>
        <v>3</v>
      </c>
      <c r="AE38" s="65">
        <f>COUNTIF($V$7:$W$54,"=" &amp; AC38 &amp; "_draw")</f>
        <v>0</v>
      </c>
      <c r="AF38" s="65">
        <f>COUNTIF($V$7:$W$54,"=" &amp; AC38 &amp; "_lose")</f>
        <v>0</v>
      </c>
      <c r="AG38" s="65">
        <f>SUMIF($E$7:$E$54,$AC38,$F$7:$F$54) + SUMIF($H$7:$H$54,$AC38,$G$7:$G$54)</f>
        <v>6</v>
      </c>
      <c r="AH38" s="65">
        <f>SUMIF($E$7:$E$54,$AC38,$G$7:$G$54) + SUMIF($H$7:$H$54,$AC38,$F$7:$F$54)</f>
        <v>3</v>
      </c>
      <c r="AI38" s="65">
        <f>(AG38-AH38)*100+AL38*10000+AG38</f>
        <v>90306</v>
      </c>
      <c r="AJ38" s="65">
        <f>AG38-AH38</f>
        <v>3</v>
      </c>
      <c r="AK38" s="65">
        <f>(AJ38-AJ43)/AJ42</f>
        <v>0.8571428571428571</v>
      </c>
      <c r="AL38" s="65">
        <f>AD38*3+AE38</f>
        <v>9</v>
      </c>
      <c r="AM38" s="65">
        <f>AQ38/AQ42*1000+AR38/AR42*100+AU38/AU42*10+AS38/AS42</f>
        <v>0</v>
      </c>
      <c r="AN38" s="65">
        <f>VLOOKUP(AC38,db_fifarank,2,FALSE)/2000000</f>
        <v>5.8900000000000001E-4</v>
      </c>
      <c r="AO38" s="66">
        <f>1000*AL38/AL42+100*AK38+10*AG38/AG42+1*AM38/AM42+AN38</f>
        <v>1095.7148747142858</v>
      </c>
      <c r="AP38" s="67" t="str">
        <f>IF(SUM(AD38:AF41)=12,M39,INDEX(T,80,lang))</f>
        <v>Argentina</v>
      </c>
      <c r="AQ38" s="68">
        <f>SUMPRODUCT(($V$7:$V$54=AC38&amp;"_win")*($X$7:$X$54))+SUMPRODUCT(($W$7:$W$54=AC38&amp;"_win")*($X$7:$X$54))</f>
        <v>0</v>
      </c>
      <c r="AR38" s="69">
        <f>SUMPRODUCT(($V$7:$V$54=AC38&amp;"_draw")*($X$7:$X$54))+SUMPRODUCT(($W$7:$W$54=AC38&amp;"_draw")*($X$7:$X$54))</f>
        <v>0</v>
      </c>
      <c r="AS38" s="69">
        <f>SUMPRODUCT(($E$7:$E$54=AC38)*($X$7:$X$54)*($F$7:$F$54))+SUMPRODUCT(($H$7:$H$54=AC38)*($X$7:$X$54)*($G$7:$G$54))</f>
        <v>0</v>
      </c>
      <c r="AT38" s="69">
        <f>SUMPRODUCT(($E$7:$E$54=AC38)*($X$7:$X$54)*($G$7:$G$54))+SUMPRODUCT(($H$7:$H$54=AC38)*($X$7:$X$54)*($F$7:$F$54))</f>
        <v>0</v>
      </c>
      <c r="AU38" s="69">
        <f>AS38-AT38</f>
        <v>0</v>
      </c>
      <c r="AZ38" s="125">
        <v>56</v>
      </c>
      <c r="BA38" s="110" t="str">
        <f>AP50</f>
        <v>Belgium</v>
      </c>
      <c r="BB38" s="63">
        <v>2</v>
      </c>
      <c r="BC38" s="64"/>
      <c r="BD38" s="107"/>
      <c r="BE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</row>
    <row r="39" spans="1:73">
      <c r="A39" s="90">
        <v>33</v>
      </c>
      <c r="B39" s="91" t="str">
        <f t="shared" si="0"/>
        <v>Mon</v>
      </c>
      <c r="C39" s="92" t="str">
        <f t="shared" si="1"/>
        <v>Jun 23, 2014</v>
      </c>
      <c r="D39" s="93">
        <f t="shared" si="3"/>
        <v>0.375</v>
      </c>
      <c r="E39" s="94" t="str">
        <f>AC17</f>
        <v>Australia</v>
      </c>
      <c r="F39" s="59">
        <v>0</v>
      </c>
      <c r="G39" s="60">
        <v>3</v>
      </c>
      <c r="H39" s="101" t="str">
        <f>AC14</f>
        <v>Spain</v>
      </c>
      <c r="I39" s="130" t="str">
        <f>INDEX(T,106,lang)</f>
        <v>Curitiba</v>
      </c>
      <c r="J39" s="131"/>
      <c r="K39" s="132"/>
      <c r="M39" s="22" t="str">
        <f>VLOOKUP(1,AB38:AL41,2,FALSE)</f>
        <v>Argentina</v>
      </c>
      <c r="N39" s="27">
        <f>O39+P39+Q39</f>
        <v>3</v>
      </c>
      <c r="O39" s="27">
        <f>VLOOKUP(1,AB38:AL41,3,FALSE)</f>
        <v>3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6 - 3</v>
      </c>
      <c r="S39" s="28">
        <f>O39*3+P39</f>
        <v>9</v>
      </c>
      <c r="U39" s="65">
        <f>DATE(2014,6,23)+TIME(5,0,0)+gmt_delta</f>
        <v>41813.375</v>
      </c>
      <c r="V39" s="71" t="str">
        <f t="shared" si="4"/>
        <v>Australia_lose</v>
      </c>
      <c r="W39" s="71" t="str">
        <f t="shared" si="2"/>
        <v>Spain_win</v>
      </c>
      <c r="X39" s="66">
        <f t="shared" si="5"/>
        <v>0</v>
      </c>
      <c r="Y39" s="65">
        <f t="shared" si="6"/>
        <v>0</v>
      </c>
      <c r="Z39" s="65">
        <f t="shared" si="7"/>
        <v>0</v>
      </c>
      <c r="AB39" s="65">
        <f>COUNTIF(AO38:AO41,CONCATENATE("&gt;=",AO39))</f>
        <v>3</v>
      </c>
      <c r="AC39" s="66" t="str">
        <f>INDEX(T,60,lang)</f>
        <v>Bosnia-Herzegovina</v>
      </c>
      <c r="AD39" s="65">
        <f>COUNTIF($V$7:$W$54,"=" &amp; AC39 &amp; "_win")</f>
        <v>1</v>
      </c>
      <c r="AE39" s="65">
        <f>COUNTIF($V$7:$W$54,"=" &amp; AC39 &amp; "_draw")</f>
        <v>0</v>
      </c>
      <c r="AF39" s="65">
        <f>COUNTIF($V$7:$W$54,"=" &amp; AC39 &amp; "_lose")</f>
        <v>2</v>
      </c>
      <c r="AG39" s="65">
        <f>SUMIF($E$7:$E$54,$AC39,$F$7:$F$54) + SUMIF($H$7:$H$54,$AC39,$G$7:$G$54)</f>
        <v>4</v>
      </c>
      <c r="AH39" s="65">
        <f>SUMIF($E$7:$E$54,$AC39,$G$7:$G$54) + SUMIF($H$7:$H$54,$AC39,$F$7:$F$54)</f>
        <v>4</v>
      </c>
      <c r="AI39" s="65">
        <f>(AG39-AH39)*100+AL39*10000+AG39</f>
        <v>30004</v>
      </c>
      <c r="AJ39" s="65">
        <f>AG39-AH39</f>
        <v>0</v>
      </c>
      <c r="AK39" s="65">
        <f>(AJ39-AJ43)/AJ42</f>
        <v>0.42857142857142855</v>
      </c>
      <c r="AL39" s="65">
        <f>AD39*3+AE39</f>
        <v>3</v>
      </c>
      <c r="AM39" s="65">
        <f>AQ39/AQ42*1000+AR39/AR42*100+AU39/AU42*10+AS39/AS42</f>
        <v>0</v>
      </c>
      <c r="AN39" s="65">
        <f>VLOOKUP(AC39,db_fifarank,2,FALSE)/2000000</f>
        <v>3.9750000000000001E-4</v>
      </c>
      <c r="AO39" s="66">
        <f>1000*AL39/AL42+100*AK39+10*AG39/AG42+1*AM39/AM42+AN39</f>
        <v>382.85754035714285</v>
      </c>
      <c r="AP39" s="67" t="str">
        <f>IF(SUM(AD38:AF41)=12,M40,INDEX(T,81,lang))</f>
        <v>Nigeria</v>
      </c>
      <c r="AQ39" s="68">
        <f>SUMPRODUCT(($V$7:$V$54=AC39&amp;"_win")*($X$7:$X$54))+SUMPRODUCT(($W$7:$W$54=AC39&amp;"_win")*($X$7:$X$54))</f>
        <v>0</v>
      </c>
      <c r="AR39" s="69">
        <f>SUMPRODUCT(($V$7:$V$54=AC39&amp;"_draw")*($X$7:$X$54))+SUMPRODUCT(($W$7:$W$54=AC39&amp;"_draw")*($X$7:$X$54))</f>
        <v>0</v>
      </c>
      <c r="AS39" s="69">
        <f>SUMPRODUCT(($E$7:$E$54=AC39)*($X$7:$X$54)*($F$7:$F$54))+SUMPRODUCT(($H$7:$H$54=AC39)*($X$7:$X$54)*($G$7:$G$54))</f>
        <v>0</v>
      </c>
      <c r="AT39" s="69">
        <f>SUMPRODUCT(($E$7:$E$54=AC39)*($X$7:$X$54)*($G$7:$G$54))+SUMPRODUCT(($H$7:$H$54=AC39)*($X$7:$X$54)*($F$7:$F$54))</f>
        <v>0</v>
      </c>
      <c r="AU39" s="69">
        <f>AS39-AT39</f>
        <v>0</v>
      </c>
      <c r="AZ39" s="126"/>
      <c r="BA39" s="111" t="str">
        <f>AP45</f>
        <v>USA</v>
      </c>
      <c r="BB39" s="61">
        <v>1</v>
      </c>
      <c r="BC39" s="62"/>
      <c r="BD39" s="103"/>
      <c r="BE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</row>
    <row r="40" spans="1:73" ht="13.5" thickBot="1">
      <c r="A40" s="90">
        <v>34</v>
      </c>
      <c r="B40" s="91" t="str">
        <f t="shared" si="0"/>
        <v>Mon</v>
      </c>
      <c r="C40" s="92" t="str">
        <f t="shared" si="1"/>
        <v>Jun 23, 2014</v>
      </c>
      <c r="D40" s="93">
        <f t="shared" si="3"/>
        <v>0.375</v>
      </c>
      <c r="E40" s="94" t="str">
        <f>AC15</f>
        <v>Netherlands</v>
      </c>
      <c r="F40" s="59">
        <v>2</v>
      </c>
      <c r="G40" s="60">
        <v>0</v>
      </c>
      <c r="H40" s="101" t="str">
        <f>AC16</f>
        <v>Chile</v>
      </c>
      <c r="I40" s="130" t="str">
        <f>INDEX(T,114,lang)</f>
        <v>Sao Paulo</v>
      </c>
      <c r="J40" s="131"/>
      <c r="K40" s="132"/>
      <c r="M40" s="23" t="str">
        <f>VLOOKUP(2,AB38:AL41,2,FALSE)</f>
        <v>Nigeria</v>
      </c>
      <c r="N40" s="29">
        <f>O40+P40+Q40</f>
        <v>3</v>
      </c>
      <c r="O40" s="29">
        <f>VLOOKUP(2,AB38:AL41,3,FALSE)</f>
        <v>1</v>
      </c>
      <c r="P40" s="29">
        <f>VLOOKUP(2,AB38:AL41,4,FALSE)</f>
        <v>1</v>
      </c>
      <c r="Q40" s="29">
        <f>VLOOKUP(2,AB38:AL41,5,FALSE)</f>
        <v>1</v>
      </c>
      <c r="R40" s="29" t="str">
        <f>VLOOKUP(2,AB38:AL41,6,FALSE) &amp; " - " &amp; VLOOKUP(2,AB38:AL41,7,FALSE)</f>
        <v>3 - 3</v>
      </c>
      <c r="S40" s="30">
        <f>O40*3+P40</f>
        <v>4</v>
      </c>
      <c r="U40" s="65">
        <f>DATE(2014,6,23)+TIME(5,0,0)+gmt_delta</f>
        <v>41813.375</v>
      </c>
      <c r="V40" s="71" t="str">
        <f t="shared" si="4"/>
        <v>Netherlands_win</v>
      </c>
      <c r="W40" s="71" t="str">
        <f t="shared" si="2"/>
        <v>Chile_lose</v>
      </c>
      <c r="X40" s="66">
        <f t="shared" si="5"/>
        <v>0</v>
      </c>
      <c r="Y40" s="65">
        <f t="shared" si="6"/>
        <v>0</v>
      </c>
      <c r="Z40" s="65">
        <f t="shared" si="7"/>
        <v>0</v>
      </c>
      <c r="AB40" s="65">
        <f>COUNTIF(AO38:AO41,CONCATENATE("&gt;=",AO40))</f>
        <v>4</v>
      </c>
      <c r="AC40" s="66" t="str">
        <f>INDEX(T,61,lang)</f>
        <v>Iran</v>
      </c>
      <c r="AD40" s="65">
        <f>COUNTIF($V$7:$W$54,"=" &amp; AC40 &amp; "_win")</f>
        <v>0</v>
      </c>
      <c r="AE40" s="65">
        <f>COUNTIF($V$7:$W$54,"=" &amp; AC40 &amp; "_draw")</f>
        <v>1</v>
      </c>
      <c r="AF40" s="65">
        <f>COUNTIF($V$7:$W$54,"=" &amp; AC40 &amp; "_lose")</f>
        <v>2</v>
      </c>
      <c r="AG40" s="65">
        <f>SUMIF($E$7:$E$54,$AC40,$F$7:$F$54) + SUMIF($H$7:$H$54,$AC40,$G$7:$G$54)</f>
        <v>1</v>
      </c>
      <c r="AH40" s="65">
        <f>SUMIF($E$7:$E$54,$AC40,$G$7:$G$54) + SUMIF($H$7:$H$54,$AC40,$F$7:$F$54)</f>
        <v>4</v>
      </c>
      <c r="AI40" s="65">
        <f>(AG40-AH40)*100+AL40*10000+AG40</f>
        <v>9701</v>
      </c>
      <c r="AJ40" s="65">
        <f>AG40-AH40</f>
        <v>-3</v>
      </c>
      <c r="AK40" s="65">
        <f>(AJ40-AJ43)/AJ42</f>
        <v>0</v>
      </c>
      <c r="AL40" s="65">
        <f>AD40*3+AE40</f>
        <v>1</v>
      </c>
      <c r="AM40" s="65">
        <f>AQ40/AQ42*1000+AR40/AR42*100+AU40/AU42*10+AS40/AS42</f>
        <v>0</v>
      </c>
      <c r="AN40" s="65">
        <f>VLOOKUP(AC40,db_fifarank,2,FALSE)/2000000</f>
        <v>3.5750000000000002E-4</v>
      </c>
      <c r="AO40" s="66">
        <f>1000*AL40/AL42+100*AK40+10*AG40/AG42+1*AM40/AM42+AN40</f>
        <v>112.77813527777779</v>
      </c>
      <c r="AQ40" s="68">
        <f>SUMPRODUCT(($V$7:$V$54=AC40&amp;"_win")*($X$7:$X$54))+SUMPRODUCT(($W$7:$W$54=AC40&amp;"_win")*($X$7:$X$54))</f>
        <v>0</v>
      </c>
      <c r="AR40" s="69">
        <f>SUMPRODUCT(($V$7:$V$54=AC40&amp;"_draw")*($X$7:$X$54))+SUMPRODUCT(($W$7:$W$54=AC40&amp;"_draw")*($X$7:$X$54))</f>
        <v>0</v>
      </c>
      <c r="AS40" s="69">
        <f>SUMPRODUCT(($E$7:$E$54=AC40)*($X$7:$X$54)*($F$7:$F$54))+SUMPRODUCT(($H$7:$H$54=AC40)*($X$7:$X$54)*($G$7:$G$54))</f>
        <v>0</v>
      </c>
      <c r="AT40" s="69">
        <f>SUMPRODUCT(($E$7:$E$54=AC40)*($X$7:$X$54)*($G$7:$G$54))+SUMPRODUCT(($H$7:$H$54=AC40)*($X$7:$X$54)*($F$7:$F$54))</f>
        <v>0</v>
      </c>
      <c r="AU40" s="69">
        <f>AS40-AT40</f>
        <v>0</v>
      </c>
    </row>
    <row r="41" spans="1:73">
      <c r="A41" s="90">
        <v>35</v>
      </c>
      <c r="B41" s="91" t="str">
        <f t="shared" si="0"/>
        <v>Mon</v>
      </c>
      <c r="C41" s="92" t="str">
        <f t="shared" si="1"/>
        <v>Jun 23, 2014</v>
      </c>
      <c r="D41" s="93">
        <f t="shared" si="3"/>
        <v>0.54166666666666663</v>
      </c>
      <c r="E41" s="94" t="str">
        <f>AC11</f>
        <v>Cameroon</v>
      </c>
      <c r="F41" s="117">
        <v>1</v>
      </c>
      <c r="G41" s="118">
        <v>4</v>
      </c>
      <c r="H41" s="101" t="str">
        <f>AC8</f>
        <v>Brazil</v>
      </c>
      <c r="I41" s="130" t="str">
        <f>INDEX(T,104,lang)</f>
        <v>Brasilia</v>
      </c>
      <c r="J41" s="131"/>
      <c r="K41" s="132"/>
      <c r="M41" s="23" t="str">
        <f>VLOOKUP(3,AB38:AL41,2,FALSE)</f>
        <v>Bosnia-Herzegovina</v>
      </c>
      <c r="N41" s="29">
        <f>O41+P41+Q41</f>
        <v>3</v>
      </c>
      <c r="O41" s="29">
        <f>VLOOKUP(3,AB38:AL41,3,FALSE)</f>
        <v>1</v>
      </c>
      <c r="P41" s="29">
        <f>VLOOKUP(3,AB38:AL41,4,FALSE)</f>
        <v>0</v>
      </c>
      <c r="Q41" s="29">
        <f>VLOOKUP(3,AB38:AL41,5,FALSE)</f>
        <v>2</v>
      </c>
      <c r="R41" s="29" t="str">
        <f>VLOOKUP(3,AB38:AL41,6,FALSE) &amp; " - " &amp; VLOOKUP(3,AB38:AL41,7,FALSE)</f>
        <v>4 - 4</v>
      </c>
      <c r="S41" s="30">
        <f>O41*3+P41</f>
        <v>3</v>
      </c>
      <c r="U41" s="65">
        <f>DATE(2014,6,23)+TIME(9,0,0)+gmt_delta</f>
        <v>41813.541666666664</v>
      </c>
      <c r="V41" s="71" t="str">
        <f t="shared" si="4"/>
        <v>Cameroon_lose</v>
      </c>
      <c r="W41" s="71" t="str">
        <f t="shared" si="2"/>
        <v>Brazil_win</v>
      </c>
      <c r="X41" s="66">
        <f t="shared" si="5"/>
        <v>0</v>
      </c>
      <c r="Y41" s="65">
        <f t="shared" si="6"/>
        <v>0</v>
      </c>
      <c r="Z41" s="65">
        <f t="shared" si="7"/>
        <v>0</v>
      </c>
      <c r="AB41" s="65">
        <f>COUNTIF(AO38:AO41,CONCATENATE("&gt;=",AO41))</f>
        <v>2</v>
      </c>
      <c r="AC41" s="66" t="str">
        <f>INDEX(T,43,lang)</f>
        <v>Nigeria</v>
      </c>
      <c r="AD41" s="65">
        <f>COUNTIF($V$7:$W$54,"=" &amp; AC41 &amp; "_win")</f>
        <v>1</v>
      </c>
      <c r="AE41" s="65">
        <f>COUNTIF($V$7:$W$54,"=" &amp; AC41 &amp; "_draw")</f>
        <v>1</v>
      </c>
      <c r="AF41" s="65">
        <f>COUNTIF($V$7:$W$54,"=" &amp; AC41 &amp; "_lose")</f>
        <v>1</v>
      </c>
      <c r="AG41" s="65">
        <f>SUMIF($E$7:$E$54,$AC41,$F$7:$F$54) + SUMIF($H$7:$H$54,$AC41,$G$7:$G$54)</f>
        <v>3</v>
      </c>
      <c r="AH41" s="65">
        <f>SUMIF($E$7:$E$54,$AC41,$G$7:$G$54) + SUMIF($H$7:$H$54,$AC41,$F$7:$F$54)</f>
        <v>3</v>
      </c>
      <c r="AI41" s="65">
        <f>(AG41-AH41)*100+AL41*10000+AG41</f>
        <v>40003</v>
      </c>
      <c r="AJ41" s="65">
        <f>AG41-AH41</f>
        <v>0</v>
      </c>
      <c r="AK41" s="65">
        <f>(AJ41-AJ43)/AJ42</f>
        <v>0.42857142857142855</v>
      </c>
      <c r="AL41" s="65">
        <f>AD41*3+AE41</f>
        <v>4</v>
      </c>
      <c r="AM41" s="65">
        <f>AQ41/AQ42*1000+AR41/AR42*100+AU41/AU42*10+AS41/AS42</f>
        <v>0</v>
      </c>
      <c r="AN41" s="65">
        <f>VLOOKUP(AC41,db_fifarank,2,FALSE)/2000000</f>
        <v>3.1550000000000003E-4</v>
      </c>
      <c r="AO41" s="66">
        <f>1000*AL41/AL42+100*AK41+10*AG41/AG42+1*AM41/AM42+AN41</f>
        <v>492.30190280158729</v>
      </c>
      <c r="AQ41" s="68">
        <f>SUMPRODUCT(($V$7:$V$54=AC41&amp;"_win")*($X$7:$X$54))+SUMPRODUCT(($W$7:$W$54=AC41&amp;"_win")*($X$7:$X$54))</f>
        <v>0</v>
      </c>
      <c r="AR41" s="69">
        <f>SUMPRODUCT(($V$7:$V$54=AC41&amp;"_draw")*($X$7:$X$54))+SUMPRODUCT(($W$7:$W$54=AC41&amp;"_draw")*($X$7:$X$54))</f>
        <v>0</v>
      </c>
      <c r="AS41" s="69">
        <f>SUMPRODUCT(($E$7:$E$54=AC41)*($X$7:$X$54)*($F$7:$F$54))+SUMPRODUCT(($H$7:$H$54=AC41)*($X$7:$X$54)*($G$7:$G$54))</f>
        <v>0</v>
      </c>
      <c r="AT41" s="69">
        <f>SUMPRODUCT(($E$7:$E$54=AC41)*($X$7:$X$54)*($G$7:$G$54))+SUMPRODUCT(($H$7:$H$54=AC41)*($X$7:$X$54)*($F$7:$F$54))</f>
        <v>0</v>
      </c>
      <c r="AU41" s="69">
        <f>AS41-AT41</f>
        <v>0</v>
      </c>
      <c r="BK41" s="133" t="str">
        <f>INDEX(T,102,lang)</f>
        <v>World Champion 2014</v>
      </c>
      <c r="BL41" s="133"/>
      <c r="BM41" s="133"/>
      <c r="BN41" s="133"/>
      <c r="BO41" s="133"/>
      <c r="BP41" s="135" t="str">
        <f>V85</f>
        <v>Germany</v>
      </c>
      <c r="BQ41" s="135"/>
      <c r="BR41" s="135"/>
      <c r="BS41" s="135"/>
      <c r="BT41" s="135"/>
      <c r="BU41" s="135"/>
    </row>
    <row r="42" spans="1:73">
      <c r="A42" s="90">
        <v>36</v>
      </c>
      <c r="B42" s="91" t="str">
        <f t="shared" si="0"/>
        <v>Mon</v>
      </c>
      <c r="C42" s="92" t="str">
        <f t="shared" si="1"/>
        <v>Jun 23, 2014</v>
      </c>
      <c r="D42" s="93">
        <f t="shared" si="3"/>
        <v>0.54166666666666663</v>
      </c>
      <c r="E42" s="94" t="str">
        <f>AC9</f>
        <v>Croatia</v>
      </c>
      <c r="F42" s="117">
        <v>1</v>
      </c>
      <c r="G42" s="118">
        <v>3</v>
      </c>
      <c r="H42" s="101" t="str">
        <f>AC10</f>
        <v>Mexico</v>
      </c>
      <c r="I42" s="130" t="str">
        <f>INDEX(T,111,lang)</f>
        <v>Recife</v>
      </c>
      <c r="J42" s="131"/>
      <c r="K42" s="132"/>
      <c r="M42" s="24" t="str">
        <f>VLOOKUP(4,AB38:AL41,2,FALSE)</f>
        <v>Iran</v>
      </c>
      <c r="N42" s="31">
        <f>O42+P42+Q42</f>
        <v>3</v>
      </c>
      <c r="O42" s="31">
        <f>VLOOKUP(4,AB38:AL41,3,FALSE)</f>
        <v>0</v>
      </c>
      <c r="P42" s="31">
        <f>VLOOKUP(4,AB38:AL41,4,FALSE)</f>
        <v>1</v>
      </c>
      <c r="Q42" s="31">
        <f>VLOOKUP(4,AB38:AL41,5,FALSE)</f>
        <v>2</v>
      </c>
      <c r="R42" s="31" t="str">
        <f>VLOOKUP(4,AB38:AL41,6,FALSE) &amp; " - " &amp; VLOOKUP(4,AB38:AL41,7,FALSE)</f>
        <v>1 - 4</v>
      </c>
      <c r="S42" s="32">
        <f>O42*3+P42</f>
        <v>1</v>
      </c>
      <c r="U42" s="65">
        <f>DATE(2014,6,23)+TIME(9,0,0)+gmt_delta</f>
        <v>41813.541666666664</v>
      </c>
      <c r="V42" s="71" t="str">
        <f t="shared" si="4"/>
        <v>Croatia_lose</v>
      </c>
      <c r="W42" s="71" t="str">
        <f t="shared" si="2"/>
        <v>Mexico_win</v>
      </c>
      <c r="X42" s="66">
        <f t="shared" si="5"/>
        <v>0</v>
      </c>
      <c r="Y42" s="65">
        <f t="shared" si="6"/>
        <v>0</v>
      </c>
      <c r="Z42" s="65">
        <f t="shared" si="7"/>
        <v>0</v>
      </c>
      <c r="AD42" s="65">
        <f t="shared" ref="AD42:AM42" si="13">MAX(AD38:AD41)-MIN(AD38:AD41)+1</f>
        <v>4</v>
      </c>
      <c r="AE42" s="65">
        <f t="shared" si="13"/>
        <v>2</v>
      </c>
      <c r="AF42" s="65">
        <f t="shared" si="13"/>
        <v>3</v>
      </c>
      <c r="AG42" s="65">
        <f t="shared" si="13"/>
        <v>6</v>
      </c>
      <c r="AH42" s="65">
        <f t="shared" si="13"/>
        <v>2</v>
      </c>
      <c r="AI42" s="65">
        <f>MAX(AI38:AI41)-AI43+1</f>
        <v>80606</v>
      </c>
      <c r="AJ42" s="65">
        <f>MAX(AJ38:AJ41)-AJ43+1</f>
        <v>7</v>
      </c>
      <c r="AL42" s="65">
        <f t="shared" si="13"/>
        <v>9</v>
      </c>
      <c r="AM42" s="65">
        <f t="shared" si="13"/>
        <v>1</v>
      </c>
      <c r="AQ42" s="65">
        <f>MAX(AQ38:AQ41)-MIN(AQ38:AQ41)+1</f>
        <v>1</v>
      </c>
      <c r="AR42" s="65">
        <f>MAX(AR38:AR41)-MIN(AR38:AR41)+1</f>
        <v>1</v>
      </c>
      <c r="AS42" s="65">
        <f>MAX(AS38:AS41)-MIN(AS38:AS41)+1</f>
        <v>1</v>
      </c>
      <c r="AT42" s="65">
        <f>MAX(AT38:AT41)-MIN(AT38:AT41)+1</f>
        <v>1</v>
      </c>
      <c r="AU42" s="65">
        <f>MAX(AU38:AU41)-MIN(AU38:AU41)+1</f>
        <v>1</v>
      </c>
      <c r="BK42" s="134"/>
      <c r="BL42" s="134"/>
      <c r="BM42" s="134"/>
      <c r="BN42" s="134"/>
      <c r="BO42" s="134"/>
      <c r="BP42" s="136"/>
      <c r="BQ42" s="136"/>
      <c r="BR42" s="136"/>
      <c r="BS42" s="136"/>
      <c r="BT42" s="136"/>
      <c r="BU42" s="136"/>
    </row>
    <row r="43" spans="1:73">
      <c r="A43" s="90">
        <v>37</v>
      </c>
      <c r="B43" s="91" t="str">
        <f t="shared" si="0"/>
        <v>Tue</v>
      </c>
      <c r="C43" s="92" t="str">
        <f t="shared" si="1"/>
        <v>Jun 24, 2014</v>
      </c>
      <c r="D43" s="93">
        <f t="shared" si="3"/>
        <v>0.375</v>
      </c>
      <c r="E43" s="94" t="str">
        <f>AC29</f>
        <v>Italy</v>
      </c>
      <c r="F43" s="59">
        <v>0</v>
      </c>
      <c r="G43" s="60">
        <v>1</v>
      </c>
      <c r="H43" s="101" t="str">
        <f>AC26</f>
        <v>Uruguay</v>
      </c>
      <c r="I43" s="130" t="str">
        <f>INDEX(T,109,lang)</f>
        <v>Natal</v>
      </c>
      <c r="J43" s="131"/>
      <c r="K43" s="132"/>
      <c r="U43" s="65">
        <f>DATE(2014,6,24)+TIME(5,0,0)+gmt_delta</f>
        <v>41814.375</v>
      </c>
      <c r="V43" s="71" t="str">
        <f t="shared" si="4"/>
        <v>Italy_lose</v>
      </c>
      <c r="W43" s="71" t="str">
        <f t="shared" si="2"/>
        <v>Uruguay_win</v>
      </c>
      <c r="X43" s="66">
        <f t="shared" si="5"/>
        <v>0</v>
      </c>
      <c r="Y43" s="65">
        <f t="shared" si="6"/>
        <v>0</v>
      </c>
      <c r="Z43" s="65">
        <f t="shared" si="7"/>
        <v>0</v>
      </c>
      <c r="AI43" s="65">
        <f>MIN(AI38:AI41)</f>
        <v>9701</v>
      </c>
      <c r="AJ43" s="65">
        <f>MIN(AJ38:AJ41)</f>
        <v>-3</v>
      </c>
    </row>
    <row r="44" spans="1:73">
      <c r="A44" s="90">
        <v>38</v>
      </c>
      <c r="B44" s="91" t="str">
        <f t="shared" si="0"/>
        <v>Tue</v>
      </c>
      <c r="C44" s="92" t="str">
        <f t="shared" si="1"/>
        <v>Jun 24, 2014</v>
      </c>
      <c r="D44" s="93">
        <f t="shared" si="3"/>
        <v>0.375</v>
      </c>
      <c r="E44" s="94" t="str">
        <f>AC27</f>
        <v>Costa Rica</v>
      </c>
      <c r="F44" s="59">
        <v>0</v>
      </c>
      <c r="G44" s="60">
        <v>0</v>
      </c>
      <c r="H44" s="101" t="str">
        <f>AC28</f>
        <v>England</v>
      </c>
      <c r="I44" s="130" t="str">
        <f>INDEX(T,103,lang)</f>
        <v>Belo Horizonte</v>
      </c>
      <c r="J44" s="131"/>
      <c r="K44" s="132"/>
      <c r="M44" s="57" t="str">
        <f>INDEX(T,9,lang) &amp; " " &amp; "G"</f>
        <v>Group G</v>
      </c>
      <c r="N44" s="58" t="str">
        <f>INDEX(T,10,lang)</f>
        <v>PL</v>
      </c>
      <c r="O44" s="58" t="str">
        <f>INDEX(T,11,lang)</f>
        <v>W</v>
      </c>
      <c r="P44" s="58" t="str">
        <f>INDEX(T,12,lang)</f>
        <v>DRAW</v>
      </c>
      <c r="Q44" s="58" t="str">
        <f>INDEX(T,13,lang)</f>
        <v>L</v>
      </c>
      <c r="R44" s="58" t="str">
        <f>INDEX(T,14,lang)</f>
        <v>GF - GA</v>
      </c>
      <c r="S44" s="58" t="str">
        <f>INDEX(T,15,lang)</f>
        <v>PNT</v>
      </c>
      <c r="U44" s="65">
        <f>DATE(2014,6,24)+TIME(5,0,0)+gmt_delta</f>
        <v>41814.375</v>
      </c>
      <c r="V44" s="71" t="str">
        <f t="shared" si="4"/>
        <v>Costa Rica_draw</v>
      </c>
      <c r="W44" s="71" t="str">
        <f t="shared" si="2"/>
        <v>England_draw</v>
      </c>
      <c r="X44" s="66">
        <f t="shared" si="5"/>
        <v>0</v>
      </c>
      <c r="Y44" s="65">
        <f t="shared" si="6"/>
        <v>0</v>
      </c>
      <c r="Z44" s="65">
        <f t="shared" si="7"/>
        <v>0</v>
      </c>
      <c r="AB44" s="65">
        <f>COUNTIF(AO44:AO47,CONCATENATE("&gt;=",AO44))</f>
        <v>1</v>
      </c>
      <c r="AC44" s="66" t="str">
        <f>INDEX(T,50,lang)</f>
        <v>Germany</v>
      </c>
      <c r="AD44" s="65">
        <f>COUNTIF($V$7:$W$54,"=" &amp; AC44 &amp; "_win")</f>
        <v>2</v>
      </c>
      <c r="AE44" s="65">
        <f>COUNTIF($V$7:$W$54,"=" &amp; AC44 &amp; "_draw")</f>
        <v>1</v>
      </c>
      <c r="AF44" s="65">
        <f>COUNTIF($V$7:$W$54,"=" &amp; AC44 &amp; "_lose")</f>
        <v>0</v>
      </c>
      <c r="AG44" s="65">
        <f>SUMIF($E$7:$E$54,$AC44,$F$7:$F$54) + SUMIF($H$7:$H$54,$AC44,$G$7:$G$54)</f>
        <v>7</v>
      </c>
      <c r="AH44" s="65">
        <f>SUMIF($E$7:$E$54,$AC44,$G$7:$G$54) + SUMIF($H$7:$H$54,$AC44,$F$7:$F$54)</f>
        <v>2</v>
      </c>
      <c r="AI44" s="65">
        <f>(AG44-AH44)*100+AL44*10000+AG44</f>
        <v>70507</v>
      </c>
      <c r="AJ44" s="65">
        <f>AG44-AH44</f>
        <v>5</v>
      </c>
      <c r="AK44" s="65">
        <f>(AJ44-AJ49)/AJ48</f>
        <v>0.88888888888888884</v>
      </c>
      <c r="AL44" s="65">
        <f>AD44*3+AE44</f>
        <v>7</v>
      </c>
      <c r="AM44" s="65">
        <f>AQ44/AQ48*1000+AR44/AR48*100+AU44/AU48*10+AS44/AS48</f>
        <v>0</v>
      </c>
      <c r="AN44" s="65">
        <f>VLOOKUP(AC44,db_fifarank,2,FALSE)/2000000</f>
        <v>6.7000000000000002E-4</v>
      </c>
      <c r="AO44" s="66">
        <f>1000*AL44/AL48+100*AK44+10*AG44/AG48+1*AM44/AM48+AN44</f>
        <v>1106.3895588888888</v>
      </c>
      <c r="AP44" s="67" t="str">
        <f>IF(SUM(AD44:AF47)=12,M45,INDEX(T,82,lang))</f>
        <v>Germany</v>
      </c>
      <c r="AQ44" s="68">
        <f>SUMPRODUCT(($V$7:$V$54=AC44&amp;"_win")*($X$7:$X$54))+SUMPRODUCT(($W$7:$W$54=AC44&amp;"_win")*($X$7:$X$54))</f>
        <v>0</v>
      </c>
      <c r="AR44" s="69">
        <f>SUMPRODUCT(($V$7:$V$54=AC44&amp;"_draw")*($X$7:$X$54))+SUMPRODUCT(($W$7:$W$54=AC44&amp;"_draw")*($X$7:$X$54))</f>
        <v>0</v>
      </c>
      <c r="AS44" s="69">
        <f>SUMPRODUCT(($E$7:$E$54=AC44)*($X$7:$X$54)*($F$7:$F$54))+SUMPRODUCT(($H$7:$H$54=AC44)*($X$7:$X$54)*($G$7:$G$54))</f>
        <v>0</v>
      </c>
      <c r="AT44" s="69">
        <f>SUMPRODUCT(($E$7:$E$54=AC44)*($X$7:$X$54)*($G$7:$G$54))+SUMPRODUCT(($H$7:$H$54=AC44)*($X$7:$X$54)*($F$7:$F$54))</f>
        <v>0</v>
      </c>
      <c r="AU44" s="69">
        <f>AS44-AT44</f>
        <v>0</v>
      </c>
    </row>
    <row r="45" spans="1:73">
      <c r="A45" s="90">
        <v>39</v>
      </c>
      <c r="B45" s="91" t="str">
        <f t="shared" si="0"/>
        <v>Tue</v>
      </c>
      <c r="C45" s="92" t="str">
        <f t="shared" si="1"/>
        <v>Jun 24, 2014</v>
      </c>
      <c r="D45" s="93">
        <f t="shared" si="3"/>
        <v>0.54166666666666663</v>
      </c>
      <c r="E45" s="94" t="str">
        <f>AC23</f>
        <v>Japan</v>
      </c>
      <c r="F45" s="59">
        <v>1</v>
      </c>
      <c r="G45" s="60">
        <v>4</v>
      </c>
      <c r="H45" s="101" t="str">
        <f>AC20</f>
        <v>Colombia</v>
      </c>
      <c r="I45" s="130" t="str">
        <f>INDEX(T,105,lang)</f>
        <v>Cuiaba</v>
      </c>
      <c r="J45" s="131"/>
      <c r="K45" s="132"/>
      <c r="M45" s="22" t="str">
        <f>VLOOKUP(1,AB44:AL47,2,FALSE)</f>
        <v>Germany</v>
      </c>
      <c r="N45" s="27">
        <f>O45+P45+Q45</f>
        <v>3</v>
      </c>
      <c r="O45" s="27">
        <f>VLOOKUP(1,AB44:AL47,3,FALSE)</f>
        <v>2</v>
      </c>
      <c r="P45" s="27">
        <f>VLOOKUP(1,AB44:AL47,4,FALSE)</f>
        <v>1</v>
      </c>
      <c r="Q45" s="27">
        <f>VLOOKUP(1,AB44:AL47,5,FALSE)</f>
        <v>0</v>
      </c>
      <c r="R45" s="27" t="str">
        <f>VLOOKUP(1,AB44:AL47,6,FALSE) &amp; " - " &amp; VLOOKUP(1,AB44:AL47,7,FALSE)</f>
        <v>7 - 2</v>
      </c>
      <c r="S45" s="28">
        <f>O45*3+P45</f>
        <v>7</v>
      </c>
      <c r="U45" s="65">
        <f>DATE(2014,6,24)+TIME(9,0,0)+gmt_delta</f>
        <v>41814.541666666664</v>
      </c>
      <c r="V45" s="71" t="str">
        <f t="shared" si="4"/>
        <v>Japan_lose</v>
      </c>
      <c r="W45" s="71" t="str">
        <f t="shared" si="2"/>
        <v>Colombia_win</v>
      </c>
      <c r="X45" s="66">
        <f t="shared" si="5"/>
        <v>0</v>
      </c>
      <c r="Y45" s="65">
        <f t="shared" si="6"/>
        <v>0</v>
      </c>
      <c r="Z45" s="65">
        <f t="shared" si="7"/>
        <v>0</v>
      </c>
      <c r="AB45" s="65">
        <f>COUNTIF(AO44:AO47,CONCATENATE("&gt;=",AO45))</f>
        <v>3</v>
      </c>
      <c r="AC45" s="66" t="str">
        <f>INDEX(T,65,lang)</f>
        <v>Portugal</v>
      </c>
      <c r="AD45" s="65">
        <f>COUNTIF($V$7:$W$54,"=" &amp; AC45 &amp; "_win")</f>
        <v>1</v>
      </c>
      <c r="AE45" s="65">
        <f>COUNTIF($V$7:$W$54,"=" &amp; AC45 &amp; "_draw")</f>
        <v>1</v>
      </c>
      <c r="AF45" s="65">
        <f>COUNTIF($V$7:$W$54,"=" &amp; AC45 &amp; "_lose")</f>
        <v>1</v>
      </c>
      <c r="AG45" s="65">
        <f>SUMIF($E$7:$E$54,$AC45,$F$7:$F$54) + SUMIF($H$7:$H$54,$AC45,$G$7:$G$54)</f>
        <v>4</v>
      </c>
      <c r="AH45" s="65">
        <f>SUMIF($E$7:$E$54,$AC45,$G$7:$G$54) + SUMIF($H$7:$H$54,$AC45,$F$7:$F$54)</f>
        <v>7</v>
      </c>
      <c r="AI45" s="65">
        <f>(AG45-AH45)*100+AL45*10000+AG45</f>
        <v>39704</v>
      </c>
      <c r="AJ45" s="65">
        <f>AG45-AH45</f>
        <v>-3</v>
      </c>
      <c r="AK45" s="65">
        <f>(AJ45-AJ49)/AJ48</f>
        <v>0</v>
      </c>
      <c r="AL45" s="65">
        <f>AD45*3+AE45</f>
        <v>4</v>
      </c>
      <c r="AM45" s="65">
        <f>AQ45/AQ48*1000+AR45/AR48*100+AU45/AU48*10+AS45/AS48</f>
        <v>0</v>
      </c>
      <c r="AN45" s="65">
        <f>VLOOKUP(AC45,db_fifarank,2,FALSE)/2000000</f>
        <v>6.2250000000000001E-4</v>
      </c>
      <c r="AO45" s="66">
        <f>1000*AL45/AL48+100*AK45+10*AG45/AG48+1*AM45/AM48+AN45</f>
        <v>581.42919392857141</v>
      </c>
      <c r="AP45" s="67" t="str">
        <f>IF(SUM(AD44:AF47)=12,M46,INDEX(T,83,lang))</f>
        <v>USA</v>
      </c>
      <c r="AQ45" s="68">
        <f>SUMPRODUCT(($V$7:$V$54=AC45&amp;"_win")*($X$7:$X$54))+SUMPRODUCT(($W$7:$W$54=AC45&amp;"_win")*($X$7:$X$54))</f>
        <v>0</v>
      </c>
      <c r="AR45" s="69">
        <f>SUMPRODUCT(($V$7:$V$54=AC45&amp;"_draw")*($X$7:$X$54))+SUMPRODUCT(($W$7:$W$54=AC45&amp;"_draw")*($X$7:$X$54))</f>
        <v>0</v>
      </c>
      <c r="AS45" s="69">
        <f>SUMPRODUCT(($E$7:$E$54=AC45)*($X$7:$X$54)*($F$7:$F$54))+SUMPRODUCT(($H$7:$H$54=AC45)*($X$7:$X$54)*($G$7:$G$54))</f>
        <v>0</v>
      </c>
      <c r="AT45" s="69">
        <f>SUMPRODUCT(($E$7:$E$54=AC45)*($X$7:$X$54)*($G$7:$G$54))+SUMPRODUCT(($H$7:$H$54=AC45)*($X$7:$X$54)*($F$7:$F$54))</f>
        <v>0</v>
      </c>
      <c r="AU45" s="69">
        <f>AS45-AT45</f>
        <v>0</v>
      </c>
    </row>
    <row r="46" spans="1:73">
      <c r="A46" s="90">
        <v>40</v>
      </c>
      <c r="B46" s="91" t="str">
        <f t="shared" si="0"/>
        <v>Tue</v>
      </c>
      <c r="C46" s="92" t="str">
        <f t="shared" si="1"/>
        <v>Jun 24, 2014</v>
      </c>
      <c r="D46" s="93">
        <f t="shared" si="3"/>
        <v>0.54166666666666663</v>
      </c>
      <c r="E46" s="94" t="str">
        <f>AC21</f>
        <v>Greece</v>
      </c>
      <c r="F46" s="59">
        <v>2</v>
      </c>
      <c r="G46" s="60">
        <v>1</v>
      </c>
      <c r="H46" s="101" t="str">
        <f>AC22</f>
        <v>Côte d'Ivoire</v>
      </c>
      <c r="I46" s="130" t="str">
        <f>INDEX(T,107,lang)</f>
        <v>Fortaleza</v>
      </c>
      <c r="J46" s="131"/>
      <c r="K46" s="132"/>
      <c r="M46" s="23" t="str">
        <f>VLOOKUP(2,AB44:AL47,2,FALSE)</f>
        <v>USA</v>
      </c>
      <c r="N46" s="29">
        <f>O46+P46+Q46</f>
        <v>3</v>
      </c>
      <c r="O46" s="29">
        <f>VLOOKUP(2,AB44:AL47,3,FALSE)</f>
        <v>1</v>
      </c>
      <c r="P46" s="29">
        <f>VLOOKUP(2,AB44:AL47,4,FALSE)</f>
        <v>1</v>
      </c>
      <c r="Q46" s="29">
        <f>VLOOKUP(2,AB44:AL47,5,FALSE)</f>
        <v>1</v>
      </c>
      <c r="R46" s="29" t="str">
        <f>VLOOKUP(2,AB44:AL47,6,FALSE) &amp; " - " &amp; VLOOKUP(2,AB44:AL47,7,FALSE)</f>
        <v>4 - 4</v>
      </c>
      <c r="S46" s="30">
        <f>O46*3+P46</f>
        <v>4</v>
      </c>
      <c r="U46" s="65">
        <f>DATE(2014,6,24)+TIME(9,0,0)+gmt_delta</f>
        <v>41814.541666666664</v>
      </c>
      <c r="V46" s="71" t="str">
        <f t="shared" si="4"/>
        <v>Greece_win</v>
      </c>
      <c r="W46" s="71" t="str">
        <f t="shared" si="2"/>
        <v>Côte d'Ivoire_lose</v>
      </c>
      <c r="X46" s="66">
        <f t="shared" si="5"/>
        <v>0</v>
      </c>
      <c r="Y46" s="65">
        <f t="shared" si="6"/>
        <v>0</v>
      </c>
      <c r="Z46" s="65">
        <f t="shared" si="7"/>
        <v>0</v>
      </c>
      <c r="AB46" s="65">
        <f>COUNTIF(AO44:AO47,CONCATENATE("&gt;=",AO46))</f>
        <v>4</v>
      </c>
      <c r="AC46" s="66" t="str">
        <f>INDEX(T,53,lang)</f>
        <v>Ghana</v>
      </c>
      <c r="AD46" s="65">
        <f>COUNTIF($V$7:$W$54,"=" &amp; AC46 &amp; "_win")</f>
        <v>0</v>
      </c>
      <c r="AE46" s="65">
        <f>COUNTIF($V$7:$W$54,"=" &amp; AC46 &amp; "_draw")</f>
        <v>1</v>
      </c>
      <c r="AF46" s="65">
        <f>COUNTIF($V$7:$W$54,"=" &amp; AC46 &amp; "_lose")</f>
        <v>2</v>
      </c>
      <c r="AG46" s="65">
        <f>SUMIF($E$7:$E$54,$AC46,$F$7:$F$54) + SUMIF($H$7:$H$54,$AC46,$G$7:$G$54)</f>
        <v>4</v>
      </c>
      <c r="AH46" s="65">
        <f>SUMIF($E$7:$E$54,$AC46,$G$7:$G$54) + SUMIF($H$7:$H$54,$AC46,$F$7:$F$54)</f>
        <v>6</v>
      </c>
      <c r="AI46" s="65">
        <f>(AG46-AH46)*100+AL46*10000+AG46</f>
        <v>9804</v>
      </c>
      <c r="AJ46" s="65">
        <f>AG46-AH46</f>
        <v>-2</v>
      </c>
      <c r="AK46" s="65">
        <f>(AJ46-AJ49)/AJ48</f>
        <v>0.1111111111111111</v>
      </c>
      <c r="AL46" s="65">
        <f>AD46*3+AE46</f>
        <v>1</v>
      </c>
      <c r="AM46" s="65">
        <f>AQ46/AQ48*1000+AR46/AR48*100+AU46/AU48*10+AS46/AS48</f>
        <v>0</v>
      </c>
      <c r="AN46" s="65">
        <f>VLOOKUP(AC46,db_fifarank,2,FALSE)/2000000</f>
        <v>3.5649999999999999E-4</v>
      </c>
      <c r="AO46" s="66">
        <f>1000*AL46/AL48+100*AK46+10*AG46/AG48+1*AM46/AM48+AN46</f>
        <v>163.96861046825398</v>
      </c>
      <c r="AQ46" s="68">
        <f>SUMPRODUCT(($V$7:$V$54=AC46&amp;"_win")*($X$7:$X$54))+SUMPRODUCT(($W$7:$W$54=AC46&amp;"_win")*($X$7:$X$54))</f>
        <v>0</v>
      </c>
      <c r="AR46" s="69">
        <f>SUMPRODUCT(($V$7:$V$54=AC46&amp;"_draw")*($X$7:$X$54))+SUMPRODUCT(($W$7:$W$54=AC46&amp;"_draw")*($X$7:$X$54))</f>
        <v>0</v>
      </c>
      <c r="AS46" s="69">
        <f>SUMPRODUCT(($E$7:$E$54=AC46)*($X$7:$X$54)*($F$7:$F$54))+SUMPRODUCT(($H$7:$H$54=AC46)*($X$7:$X$54)*($G$7:$G$54))</f>
        <v>0</v>
      </c>
      <c r="AT46" s="69">
        <f>SUMPRODUCT(($E$7:$E$54=AC46)*($X$7:$X$54)*($G$7:$G$54))+SUMPRODUCT(($H$7:$H$54=AC46)*($X$7:$X$54)*($F$7:$F$54))</f>
        <v>0</v>
      </c>
      <c r="AU46" s="69">
        <f>AS46-AT46</f>
        <v>0</v>
      </c>
    </row>
    <row r="47" spans="1:73">
      <c r="A47" s="90">
        <v>41</v>
      </c>
      <c r="B47" s="91" t="str">
        <f t="shared" si="0"/>
        <v>Wed</v>
      </c>
      <c r="C47" s="92" t="str">
        <f t="shared" si="1"/>
        <v>Jun 25, 2014</v>
      </c>
      <c r="D47" s="93">
        <f t="shared" si="3"/>
        <v>0.375</v>
      </c>
      <c r="E47" s="94" t="str">
        <f>AC41</f>
        <v>Nigeria</v>
      </c>
      <c r="F47" s="59">
        <v>2</v>
      </c>
      <c r="G47" s="60">
        <v>3</v>
      </c>
      <c r="H47" s="101" t="str">
        <f>AC38</f>
        <v>Argentina</v>
      </c>
      <c r="I47" s="130" t="str">
        <f>INDEX(T,110,lang)</f>
        <v>Porto Alegre</v>
      </c>
      <c r="J47" s="131"/>
      <c r="K47" s="132"/>
      <c r="M47" s="23" t="str">
        <f>VLOOKUP(3,AB44:AL47,2,FALSE)</f>
        <v>Portugal</v>
      </c>
      <c r="N47" s="29">
        <f>O47+P47+Q47</f>
        <v>3</v>
      </c>
      <c r="O47" s="29">
        <f>VLOOKUP(3,AB44:AL47,3,FALSE)</f>
        <v>1</v>
      </c>
      <c r="P47" s="29">
        <f>VLOOKUP(3,AB44:AL47,4,FALSE)</f>
        <v>1</v>
      </c>
      <c r="Q47" s="29">
        <f>VLOOKUP(3,AB44:AL47,5,FALSE)</f>
        <v>1</v>
      </c>
      <c r="R47" s="29" t="str">
        <f>VLOOKUP(3,AB44:AL47,6,FALSE) &amp; " - " &amp; VLOOKUP(3,AB44:AL47,7,FALSE)</f>
        <v>4 - 7</v>
      </c>
      <c r="S47" s="30">
        <f>O47*3+P47</f>
        <v>4</v>
      </c>
      <c r="U47" s="65">
        <f>DATE(2014,6,25)+TIME(5,0,0)+gmt_delta</f>
        <v>41815.375</v>
      </c>
      <c r="V47" s="71" t="str">
        <f t="shared" si="4"/>
        <v>Nigeria_lose</v>
      </c>
      <c r="W47" s="71" t="str">
        <f t="shared" si="2"/>
        <v>Argentina_win</v>
      </c>
      <c r="X47" s="66">
        <f t="shared" si="5"/>
        <v>0</v>
      </c>
      <c r="Y47" s="65">
        <f t="shared" si="6"/>
        <v>0</v>
      </c>
      <c r="Z47" s="65">
        <f t="shared" si="7"/>
        <v>0</v>
      </c>
      <c r="AB47" s="65">
        <f>COUNTIF(AO44:AO47,CONCATENATE("&gt;=",AO47))</f>
        <v>2</v>
      </c>
      <c r="AC47" s="66" t="str">
        <f>INDEX(T,47,lang)</f>
        <v>USA</v>
      </c>
      <c r="AD47" s="65">
        <f>COUNTIF($V$7:$W$54,"=" &amp; AC47 &amp; "_win")</f>
        <v>1</v>
      </c>
      <c r="AE47" s="65">
        <f>COUNTIF($V$7:$W$54,"=" &amp; AC47 &amp; "_draw")</f>
        <v>1</v>
      </c>
      <c r="AF47" s="65">
        <f>COUNTIF($V$7:$W$54,"=" &amp; AC47 &amp; "_lose")</f>
        <v>1</v>
      </c>
      <c r="AG47" s="65">
        <f>SUMIF($E$7:$E$54,$AC47,$F$7:$F$54) + SUMIF($H$7:$H$54,$AC47,$G$7:$G$54)</f>
        <v>4</v>
      </c>
      <c r="AH47" s="65">
        <f>SUMIF($E$7:$E$54,$AC47,$G$7:$G$54) + SUMIF($H$7:$H$54,$AC47,$F$7:$F$54)</f>
        <v>4</v>
      </c>
      <c r="AI47" s="65">
        <f>(AG47-AH47)*100+AL47*10000+AG47</f>
        <v>40004</v>
      </c>
      <c r="AJ47" s="65">
        <f>AG47-AH47</f>
        <v>0</v>
      </c>
      <c r="AK47" s="65">
        <f>(AJ47-AJ49)/AJ48</f>
        <v>0.33333333333333331</v>
      </c>
      <c r="AL47" s="65">
        <f>AD47*3+AE47</f>
        <v>4</v>
      </c>
      <c r="AM47" s="65">
        <f>AQ47/AQ48*1000+AR47/AR48*100+AU47/AU48*10+AS47/AS48</f>
        <v>0</v>
      </c>
      <c r="AN47" s="65">
        <f>VLOOKUP(AC47,db_fifarank,2,FALSE)/2000000</f>
        <v>5.0750000000000003E-4</v>
      </c>
      <c r="AO47" s="66">
        <f>1000*AL47/AL48+100*AK47+10*AG47/AG48+1*AM47/AM48+AN47</f>
        <v>614.76241226190484</v>
      </c>
      <c r="AQ47" s="68">
        <f>SUMPRODUCT(($V$7:$V$54=AC47&amp;"_win")*($X$7:$X$54))+SUMPRODUCT(($W$7:$W$54=AC47&amp;"_win")*($X$7:$X$54))</f>
        <v>0</v>
      </c>
      <c r="AR47" s="69">
        <f>SUMPRODUCT(($V$7:$V$54=AC47&amp;"_draw")*($X$7:$X$54))+SUMPRODUCT(($W$7:$W$54=AC47&amp;"_draw")*($X$7:$X$54))</f>
        <v>0</v>
      </c>
      <c r="AS47" s="69">
        <f>SUMPRODUCT(($E$7:$E$54=AC47)*($X$7:$X$54)*($F$7:$F$54))+SUMPRODUCT(($H$7:$H$54=AC47)*($X$7:$X$54)*($G$7:$G$54))</f>
        <v>0</v>
      </c>
      <c r="AT47" s="69">
        <f>SUMPRODUCT(($E$7:$E$54=AC47)*($X$7:$X$54)*($G$7:$G$54))+SUMPRODUCT(($H$7:$H$54=AC47)*($X$7:$X$54)*($F$7:$F$54))</f>
        <v>0</v>
      </c>
      <c r="AU47" s="69">
        <f>AS47-AT47</f>
        <v>0</v>
      </c>
    </row>
    <row r="48" spans="1:73">
      <c r="A48" s="90">
        <v>42</v>
      </c>
      <c r="B48" s="91" t="str">
        <f t="shared" si="0"/>
        <v>Wed</v>
      </c>
      <c r="C48" s="92" t="str">
        <f t="shared" si="1"/>
        <v>Jun 25, 2014</v>
      </c>
      <c r="D48" s="93">
        <f t="shared" si="3"/>
        <v>0.375</v>
      </c>
      <c r="E48" s="94" t="str">
        <f>AC39</f>
        <v>Bosnia-Herzegovina</v>
      </c>
      <c r="F48" s="59">
        <v>3</v>
      </c>
      <c r="G48" s="60">
        <v>1</v>
      </c>
      <c r="H48" s="101" t="str">
        <f>AC40</f>
        <v>Iran</v>
      </c>
      <c r="I48" s="130" t="str">
        <f>INDEX(T,113,lang)</f>
        <v>Salvador</v>
      </c>
      <c r="J48" s="131"/>
      <c r="K48" s="132"/>
      <c r="M48" s="24" t="str">
        <f>VLOOKUP(4,AB44:AL47,2,FALSE)</f>
        <v>Ghana</v>
      </c>
      <c r="N48" s="31">
        <f>O48+P48+Q48</f>
        <v>3</v>
      </c>
      <c r="O48" s="31">
        <f>VLOOKUP(4,AB44:AL47,3,FALSE)</f>
        <v>0</v>
      </c>
      <c r="P48" s="31">
        <f>VLOOKUP(4,AB44:AL47,4,FALSE)</f>
        <v>1</v>
      </c>
      <c r="Q48" s="31">
        <f>VLOOKUP(4,AB44:AL47,5,FALSE)</f>
        <v>2</v>
      </c>
      <c r="R48" s="31" t="str">
        <f>VLOOKUP(4,AB44:AL47,6,FALSE) &amp; " - " &amp; VLOOKUP(4,AB44:AL47,7,FALSE)</f>
        <v>4 - 6</v>
      </c>
      <c r="S48" s="32">
        <f>O48*3+P48</f>
        <v>1</v>
      </c>
      <c r="U48" s="65">
        <f>DATE(2014,6,25)+TIME(5,0,0)+gmt_delta</f>
        <v>41815.375</v>
      </c>
      <c r="V48" s="71" t="str">
        <f t="shared" si="4"/>
        <v>Bosnia-Herzegovina_win</v>
      </c>
      <c r="W48" s="71" t="str">
        <f t="shared" si="2"/>
        <v>Iran_lose</v>
      </c>
      <c r="X48" s="66">
        <f t="shared" si="5"/>
        <v>0</v>
      </c>
      <c r="Y48" s="65">
        <f t="shared" si="6"/>
        <v>0</v>
      </c>
      <c r="Z48" s="65">
        <f t="shared" si="7"/>
        <v>0</v>
      </c>
      <c r="AD48" s="65">
        <f t="shared" ref="AD48:AM48" si="14">MAX(AD44:AD47)-MIN(AD44:AD47)+1</f>
        <v>3</v>
      </c>
      <c r="AE48" s="65">
        <f t="shared" si="14"/>
        <v>1</v>
      </c>
      <c r="AF48" s="65">
        <f t="shared" si="14"/>
        <v>3</v>
      </c>
      <c r="AG48" s="65">
        <f t="shared" si="14"/>
        <v>4</v>
      </c>
      <c r="AH48" s="65">
        <f t="shared" si="14"/>
        <v>6</v>
      </c>
      <c r="AI48" s="65">
        <f>MAX(AI44:AI47)-AI49+1</f>
        <v>60704</v>
      </c>
      <c r="AJ48" s="65">
        <f>MAX(AJ44:AJ47)-AJ49+1</f>
        <v>9</v>
      </c>
      <c r="AL48" s="65">
        <f t="shared" si="14"/>
        <v>7</v>
      </c>
      <c r="AM48" s="65">
        <f t="shared" si="14"/>
        <v>1</v>
      </c>
      <c r="AQ48" s="65">
        <f>MAX(AQ44:AQ47)-MIN(AQ44:AQ47)+1</f>
        <v>1</v>
      </c>
      <c r="AR48" s="65">
        <f>MAX(AR44:AR47)-MIN(AR44:AR47)+1</f>
        <v>1</v>
      </c>
      <c r="AS48" s="65">
        <f>MAX(AS44:AS47)-MIN(AS44:AS47)+1</f>
        <v>1</v>
      </c>
      <c r="AT48" s="65">
        <f>MAX(AT44:AT47)-MIN(AT44:AT47)+1</f>
        <v>1</v>
      </c>
      <c r="AU48" s="65">
        <f>MAX(AU44:AU47)-MIN(AU44:AU47)+1</f>
        <v>1</v>
      </c>
    </row>
    <row r="49" spans="1:47">
      <c r="A49" s="90">
        <v>43</v>
      </c>
      <c r="B49" s="91" t="str">
        <f t="shared" si="0"/>
        <v>Wed</v>
      </c>
      <c r="C49" s="92" t="str">
        <f t="shared" si="1"/>
        <v>Jun 25, 2014</v>
      </c>
      <c r="D49" s="93">
        <f t="shared" si="3"/>
        <v>0.54166666666666663</v>
      </c>
      <c r="E49" s="94" t="str">
        <f>AC35</f>
        <v>Honduras</v>
      </c>
      <c r="F49" s="117">
        <v>0</v>
      </c>
      <c r="G49" s="118">
        <v>3</v>
      </c>
      <c r="H49" s="101" t="str">
        <f>AC32</f>
        <v>Switzerland</v>
      </c>
      <c r="I49" s="130" t="str">
        <f>INDEX(T,108,lang)</f>
        <v>Manaus</v>
      </c>
      <c r="J49" s="131"/>
      <c r="K49" s="132"/>
      <c r="U49" s="65">
        <f>DATE(2014,6,25)+TIME(9,0,0)+gmt_delta</f>
        <v>41815.541666666664</v>
      </c>
      <c r="V49" s="71" t="str">
        <f t="shared" si="4"/>
        <v>Honduras_lose</v>
      </c>
      <c r="W49" s="71" t="str">
        <f t="shared" si="2"/>
        <v>Switzerland_win</v>
      </c>
      <c r="X49" s="66">
        <f t="shared" si="5"/>
        <v>0</v>
      </c>
      <c r="Y49" s="65">
        <f t="shared" si="6"/>
        <v>0</v>
      </c>
      <c r="Z49" s="65">
        <f t="shared" si="7"/>
        <v>0</v>
      </c>
      <c r="AI49" s="65">
        <f>MIN(AI44:AI47)</f>
        <v>9804</v>
      </c>
      <c r="AJ49" s="65">
        <f>MIN(AJ44:AJ47)</f>
        <v>-3</v>
      </c>
    </row>
    <row r="50" spans="1:47">
      <c r="A50" s="90">
        <v>44</v>
      </c>
      <c r="B50" s="91" t="str">
        <f t="shared" si="0"/>
        <v>Wed</v>
      </c>
      <c r="C50" s="92" t="str">
        <f t="shared" si="1"/>
        <v>Jun 25, 2014</v>
      </c>
      <c r="D50" s="93">
        <f t="shared" si="3"/>
        <v>0.54166666666666663</v>
      </c>
      <c r="E50" s="94" t="str">
        <f>AC33</f>
        <v>Ecuador</v>
      </c>
      <c r="F50" s="117">
        <v>0</v>
      </c>
      <c r="G50" s="118">
        <v>0</v>
      </c>
      <c r="H50" s="101" t="str">
        <f>AC34</f>
        <v>France</v>
      </c>
      <c r="I50" s="130" t="str">
        <f>INDEX(T,112,lang)</f>
        <v>Rio De Janeiro</v>
      </c>
      <c r="J50" s="131"/>
      <c r="K50" s="132"/>
      <c r="M50" s="57" t="str">
        <f>INDEX(T,9,lang) &amp; " " &amp; "H"</f>
        <v>Group H</v>
      </c>
      <c r="N50" s="58" t="str">
        <f>INDEX(T,10,lang)</f>
        <v>PL</v>
      </c>
      <c r="O50" s="58" t="str">
        <f>INDEX(T,11,lang)</f>
        <v>W</v>
      </c>
      <c r="P50" s="58" t="str">
        <f>INDEX(T,12,lang)</f>
        <v>DRAW</v>
      </c>
      <c r="Q50" s="58" t="str">
        <f>INDEX(T,13,lang)</f>
        <v>L</v>
      </c>
      <c r="R50" s="58" t="str">
        <f>INDEX(T,14,lang)</f>
        <v>GF - GA</v>
      </c>
      <c r="S50" s="58" t="str">
        <f>INDEX(T,15,lang)</f>
        <v>PNT</v>
      </c>
      <c r="U50" s="65">
        <f>DATE(2014,6,25)+TIME(9,0,0)+gmt_delta</f>
        <v>41815.541666666664</v>
      </c>
      <c r="V50" s="71" t="str">
        <f t="shared" si="4"/>
        <v>Ecuador_draw</v>
      </c>
      <c r="W50" s="71" t="str">
        <f t="shared" si="2"/>
        <v>France_draw</v>
      </c>
      <c r="X50" s="66">
        <f t="shared" si="5"/>
        <v>0</v>
      </c>
      <c r="Y50" s="65">
        <f t="shared" si="6"/>
        <v>0</v>
      </c>
      <c r="Z50" s="65">
        <f t="shared" si="7"/>
        <v>0</v>
      </c>
      <c r="AB50" s="65">
        <f>COUNTIF(AO50:AO53,CONCATENATE("&gt;=",AO50))</f>
        <v>1</v>
      </c>
      <c r="AC50" s="66" t="str">
        <f>INDEX(T,63,lang)</f>
        <v>Belgium</v>
      </c>
      <c r="AD50" s="65">
        <f>COUNTIF($V$7:$W$54,"=" &amp; AC50 &amp; "_win")</f>
        <v>3</v>
      </c>
      <c r="AE50" s="65">
        <f>COUNTIF($V$7:$W$54,"=" &amp; AC50 &amp; "_draw")</f>
        <v>0</v>
      </c>
      <c r="AF50" s="65">
        <f>COUNTIF($V$7:$W$54,"=" &amp; AC50 &amp; "_lose")</f>
        <v>0</v>
      </c>
      <c r="AG50" s="65">
        <f>SUMIF($E$7:$E$54,$AC50,$F$7:$F$54) + SUMIF($H$7:$H$54,$AC50,$G$7:$G$54)</f>
        <v>4</v>
      </c>
      <c r="AH50" s="65">
        <f>SUMIF($E$7:$E$54,$AC50,$G$7:$G$54) + SUMIF($H$7:$H$54,$AC50,$F$7:$F$54)</f>
        <v>1</v>
      </c>
      <c r="AI50" s="65">
        <f>(AG50-AH50)*100+AL50*10000+AG50</f>
        <v>90304</v>
      </c>
      <c r="AJ50" s="65">
        <f>AG50-AH50</f>
        <v>3</v>
      </c>
      <c r="AK50" s="65">
        <f>(AJ50-AJ55)/AJ54</f>
        <v>0.8571428571428571</v>
      </c>
      <c r="AL50" s="65">
        <f>AD50*3+AE50</f>
        <v>9</v>
      </c>
      <c r="AM50" s="65">
        <f>AQ50/AQ54*1000+AR50/AR54*100+AU50/AU54*10+AS50/AS54</f>
        <v>0</v>
      </c>
      <c r="AN50" s="65">
        <f>VLOOKUP(AC50,db_fifarank,2,FALSE)/2000000</f>
        <v>5.195E-4</v>
      </c>
      <c r="AO50" s="66">
        <f>1000*AL50/AL54+100*AK50+10*AG50/AG54+1*AM50/AM54+AN50</f>
        <v>1093.7148052142859</v>
      </c>
      <c r="AP50" s="67" t="str">
        <f>IF(SUM(AD50:AF53)=12,M51,INDEX(T,84,lang))</f>
        <v>Belgium</v>
      </c>
      <c r="AQ50" s="68">
        <f>SUMPRODUCT(($V$7:$V$54=AC50&amp;"_win")*($X$7:$X$54))+SUMPRODUCT(($W$7:$W$54=AC50&amp;"_win")*($X$7:$X$54))</f>
        <v>0</v>
      </c>
      <c r="AR50" s="69">
        <f>SUMPRODUCT(($V$7:$V$54=AC50&amp;"_draw")*($X$7:$X$54))+SUMPRODUCT(($W$7:$W$54=AC50&amp;"_draw")*($X$7:$X$54))</f>
        <v>0</v>
      </c>
      <c r="AS50" s="69">
        <f>SUMPRODUCT(($E$7:$E$54=AC50)*($X$7:$X$54)*($F$7:$F$54))+SUMPRODUCT(($H$7:$H$54=AC50)*($X$7:$X$54)*($G$7:$G$54))</f>
        <v>0</v>
      </c>
      <c r="AT50" s="69">
        <f>SUMPRODUCT(($E$7:$E$54=AC50)*($X$7:$X$54)*($G$7:$G$54))+SUMPRODUCT(($H$7:$H$54=AC50)*($X$7:$X$54)*($F$7:$F$54))</f>
        <v>0</v>
      </c>
      <c r="AU50" s="69">
        <f>AS50-AT50</f>
        <v>0</v>
      </c>
    </row>
    <row r="51" spans="1:47">
      <c r="A51" s="90">
        <v>45</v>
      </c>
      <c r="B51" s="91" t="str">
        <f t="shared" si="0"/>
        <v>Thu</v>
      </c>
      <c r="C51" s="92" t="str">
        <f t="shared" si="1"/>
        <v>Jun 26, 2014</v>
      </c>
      <c r="D51" s="93">
        <f t="shared" si="3"/>
        <v>0.375</v>
      </c>
      <c r="E51" s="94" t="str">
        <f>AC47</f>
        <v>USA</v>
      </c>
      <c r="F51" s="117">
        <v>0</v>
      </c>
      <c r="G51" s="118">
        <v>1</v>
      </c>
      <c r="H51" s="101" t="str">
        <f>AC44</f>
        <v>Germany</v>
      </c>
      <c r="I51" s="130" t="str">
        <f>INDEX(T,111,lang)</f>
        <v>Recife</v>
      </c>
      <c r="J51" s="131"/>
      <c r="K51" s="132"/>
      <c r="M51" s="22" t="str">
        <f>VLOOKUP(1,AB50:AL53,2,FALSE)</f>
        <v>Belgium</v>
      </c>
      <c r="N51" s="27">
        <f>O51+P51+Q51</f>
        <v>3</v>
      </c>
      <c r="O51" s="27">
        <f>VLOOKUP(1,AB50:AL53,3,FALSE)</f>
        <v>3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4 - 1</v>
      </c>
      <c r="S51" s="28">
        <f>O51*3+P51</f>
        <v>9</v>
      </c>
      <c r="U51" s="65">
        <f>DATE(2014,6,26)+TIME(5,0,0)+gmt_delta</f>
        <v>41816.375</v>
      </c>
      <c r="V51" s="71" t="str">
        <f t="shared" si="4"/>
        <v>USA_lose</v>
      </c>
      <c r="W51" s="71" t="str">
        <f t="shared" si="2"/>
        <v>Germany_win</v>
      </c>
      <c r="X51" s="66">
        <f t="shared" si="5"/>
        <v>0</v>
      </c>
      <c r="Y51" s="65">
        <f t="shared" si="6"/>
        <v>0</v>
      </c>
      <c r="Z51" s="65">
        <f t="shared" si="7"/>
        <v>0</v>
      </c>
      <c r="AB51" s="65">
        <f>COUNTIF(AO50:AO53,CONCATENATE("&gt;=",AO51))</f>
        <v>2</v>
      </c>
      <c r="AC51" s="66" t="str">
        <f>INDEX(T,48,lang)</f>
        <v>Algeria</v>
      </c>
      <c r="AD51" s="65">
        <f>COUNTIF($V$7:$W$54,"=" &amp; AC51 &amp; "_win")</f>
        <v>1</v>
      </c>
      <c r="AE51" s="65">
        <f>COUNTIF($V$7:$W$54,"=" &amp; AC51 &amp; "_draw")</f>
        <v>1</v>
      </c>
      <c r="AF51" s="65">
        <f>COUNTIF($V$7:$W$54,"=" &amp; AC51 &amp; "_lose")</f>
        <v>1</v>
      </c>
      <c r="AG51" s="65">
        <f>SUMIF($E$7:$E$54,$AC51,$F$7:$F$54) + SUMIF($H$7:$H$54,$AC51,$G$7:$G$54)</f>
        <v>6</v>
      </c>
      <c r="AH51" s="65">
        <f>SUMIF($E$7:$E$54,$AC51,$G$7:$G$54) + SUMIF($H$7:$H$54,$AC51,$F$7:$F$54)</f>
        <v>5</v>
      </c>
      <c r="AI51" s="65">
        <f>(AG51-AH51)*100+AL51*10000+AG51</f>
        <v>40106</v>
      </c>
      <c r="AJ51" s="65">
        <f>AG51-AH51</f>
        <v>1</v>
      </c>
      <c r="AK51" s="65">
        <f>(AJ51-AJ55)/AJ54</f>
        <v>0.5714285714285714</v>
      </c>
      <c r="AL51" s="65">
        <f>AD51*3+AE51</f>
        <v>4</v>
      </c>
      <c r="AM51" s="65">
        <f>AQ51/AQ54*1000+AR51/AR54*100+AU51/AU54*10+AS51/AS54</f>
        <v>0</v>
      </c>
      <c r="AN51" s="65">
        <f>VLOOKUP(AC51,db_fifarank,2,FALSE)/2000000</f>
        <v>3.9750000000000001E-4</v>
      </c>
      <c r="AO51" s="66">
        <f>1000*AL51/AL54+100*AK51+10*AG51/AG54+1*AM51/AM54+AN51</f>
        <v>513.58769908730153</v>
      </c>
      <c r="AP51" s="67" t="str">
        <f>IF(SUM(AD50:AF53)=12,M52,INDEX(T,85,lang))</f>
        <v>Algeria</v>
      </c>
      <c r="AQ51" s="68">
        <f>SUMPRODUCT(($V$7:$V$54=AC51&amp;"_win")*($X$7:$X$54))+SUMPRODUCT(($W$7:$W$54=AC51&amp;"_win")*($X$7:$X$54))</f>
        <v>0</v>
      </c>
      <c r="AR51" s="69">
        <f>SUMPRODUCT(($V$7:$V$54=AC51&amp;"_draw")*($X$7:$X$54))+SUMPRODUCT(($W$7:$W$54=AC51&amp;"_draw")*($X$7:$X$54))</f>
        <v>0</v>
      </c>
      <c r="AS51" s="69">
        <f>SUMPRODUCT(($E$7:$E$54=AC51)*($X$7:$X$54)*($F$7:$F$54))+SUMPRODUCT(($H$7:$H$54=AC51)*($X$7:$X$54)*($G$7:$G$54))</f>
        <v>0</v>
      </c>
      <c r="AT51" s="69">
        <f>SUMPRODUCT(($E$7:$E$54=AC51)*($X$7:$X$54)*($G$7:$G$54))+SUMPRODUCT(($H$7:$H$54=AC51)*($X$7:$X$54)*($F$7:$F$54))</f>
        <v>0</v>
      </c>
      <c r="AU51" s="69">
        <f>AS51-AT51</f>
        <v>0</v>
      </c>
    </row>
    <row r="52" spans="1:47">
      <c r="A52" s="90">
        <v>46</v>
      </c>
      <c r="B52" s="91" t="str">
        <f t="shared" si="0"/>
        <v>Thu</v>
      </c>
      <c r="C52" s="92" t="str">
        <f t="shared" si="1"/>
        <v>Jun 26, 2014</v>
      </c>
      <c r="D52" s="93">
        <f t="shared" si="3"/>
        <v>0.375</v>
      </c>
      <c r="E52" s="94" t="str">
        <f>AC45</f>
        <v>Portugal</v>
      </c>
      <c r="F52" s="117">
        <v>2</v>
      </c>
      <c r="G52" s="118">
        <v>1</v>
      </c>
      <c r="H52" s="101" t="str">
        <f>AC46</f>
        <v>Ghana</v>
      </c>
      <c r="I52" s="130" t="str">
        <f>INDEX(T,104,lang)</f>
        <v>Brasilia</v>
      </c>
      <c r="J52" s="131"/>
      <c r="K52" s="132"/>
      <c r="M52" s="23" t="str">
        <f>VLOOKUP(2,AB50:AL53,2,FALSE)</f>
        <v>Algeria</v>
      </c>
      <c r="N52" s="29">
        <f>O52+P52+Q52</f>
        <v>3</v>
      </c>
      <c r="O52" s="29">
        <f>VLOOKUP(2,AB50:AL53,3,FALSE)</f>
        <v>1</v>
      </c>
      <c r="P52" s="29">
        <f>VLOOKUP(2,AB50:AL53,4,FALSE)</f>
        <v>1</v>
      </c>
      <c r="Q52" s="29">
        <f>VLOOKUP(2,AB50:AL53,5,FALSE)</f>
        <v>1</v>
      </c>
      <c r="R52" s="29" t="str">
        <f>VLOOKUP(2,AB50:AL53,6,FALSE) &amp; " - " &amp; VLOOKUP(2,AB50:AL53,7,FALSE)</f>
        <v>6 - 5</v>
      </c>
      <c r="S52" s="30">
        <f>O52*3+P52</f>
        <v>4</v>
      </c>
      <c r="U52" s="65">
        <f>DATE(2014,6,26)+TIME(5,0,0)+gmt_delta</f>
        <v>41816.375</v>
      </c>
      <c r="V52" s="71" t="str">
        <f t="shared" si="4"/>
        <v>Portugal_win</v>
      </c>
      <c r="W52" s="71" t="str">
        <f t="shared" si="2"/>
        <v>Ghana_lose</v>
      </c>
      <c r="X52" s="66">
        <f t="shared" si="5"/>
        <v>0</v>
      </c>
      <c r="Y52" s="65">
        <f t="shared" si="6"/>
        <v>0</v>
      </c>
      <c r="Z52" s="65">
        <f t="shared" si="7"/>
        <v>0</v>
      </c>
      <c r="AB52" s="65">
        <f>COUNTIF(AO50:AO53,CONCATENATE("&gt;=",AO52))</f>
        <v>3</v>
      </c>
      <c r="AC52" s="66" t="str">
        <f>INDEX(T,49,lang)</f>
        <v>Russia</v>
      </c>
      <c r="AD52" s="65">
        <f>COUNTIF($V$7:$W$54,"=" &amp; AC52 &amp; "_win")</f>
        <v>0</v>
      </c>
      <c r="AE52" s="65">
        <f>COUNTIF($V$7:$W$54,"=" &amp; AC52 &amp; "_draw")</f>
        <v>2</v>
      </c>
      <c r="AF52" s="65">
        <f>COUNTIF($V$7:$W$54,"=" &amp; AC52 &amp; "_lose")</f>
        <v>1</v>
      </c>
      <c r="AG52" s="65">
        <f>SUMIF($E$7:$E$54,$AC52,$F$7:$F$54) + SUMIF($H$7:$H$54,$AC52,$G$7:$G$54)</f>
        <v>2</v>
      </c>
      <c r="AH52" s="65">
        <f>SUMIF($E$7:$E$54,$AC52,$G$7:$G$54) + SUMIF($H$7:$H$54,$AC52,$F$7:$F$54)</f>
        <v>3</v>
      </c>
      <c r="AI52" s="65">
        <f>(AG52-AH52)*100+AL52*10000+AG52</f>
        <v>19902</v>
      </c>
      <c r="AJ52" s="65">
        <f>AG52-AH52</f>
        <v>-1</v>
      </c>
      <c r="AK52" s="65">
        <f>(AJ52-AJ55)/AJ54</f>
        <v>0.2857142857142857</v>
      </c>
      <c r="AL52" s="65">
        <f>AD52*3+AE52</f>
        <v>2</v>
      </c>
      <c r="AM52" s="65">
        <f>AQ52/AQ54*1000+AR52/AR54*100+AU52/AU54*10+AS52/AS54</f>
        <v>0</v>
      </c>
      <c r="AN52" s="65">
        <f>VLOOKUP(AC52,db_fifarank,2,FALSE)/2000000</f>
        <v>4.5150000000000002E-4</v>
      </c>
      <c r="AO52" s="66">
        <f>1000*AL52/AL54+100*AK52+10*AG52/AG54+1*AM52/AM54+AN52</f>
        <v>254.79410229365078</v>
      </c>
      <c r="AQ52" s="68">
        <f>SUMPRODUCT(($V$7:$V$54=AC52&amp;"_win")*($X$7:$X$54))+SUMPRODUCT(($W$7:$W$54=AC52&amp;"_win")*($X$7:$X$54))</f>
        <v>0</v>
      </c>
      <c r="AR52" s="69">
        <f>SUMPRODUCT(($V$7:$V$54=AC52&amp;"_draw")*($X$7:$X$54))+SUMPRODUCT(($W$7:$W$54=AC52&amp;"_draw")*($X$7:$X$54))</f>
        <v>0</v>
      </c>
      <c r="AS52" s="69">
        <f>SUMPRODUCT(($E$7:$E$54=AC52)*($X$7:$X$54)*($F$7:$F$54))+SUMPRODUCT(($H$7:$H$54=AC52)*($X$7:$X$54)*($G$7:$G$54))</f>
        <v>0</v>
      </c>
      <c r="AT52" s="69">
        <f>SUMPRODUCT(($E$7:$E$54=AC52)*($X$7:$X$54)*($G$7:$G$54))+SUMPRODUCT(($H$7:$H$54=AC52)*($X$7:$X$54)*($F$7:$F$54))</f>
        <v>0</v>
      </c>
      <c r="AU52" s="69">
        <f>AS52-AT52</f>
        <v>0</v>
      </c>
    </row>
    <row r="53" spans="1:47">
      <c r="A53" s="90">
        <v>47</v>
      </c>
      <c r="B53" s="91" t="str">
        <f t="shared" si="0"/>
        <v>Thu</v>
      </c>
      <c r="C53" s="92" t="str">
        <f t="shared" si="1"/>
        <v>Jun 26, 2014</v>
      </c>
      <c r="D53" s="93">
        <f t="shared" si="3"/>
        <v>0.54166666666666663</v>
      </c>
      <c r="E53" s="94" t="str">
        <f>AC53</f>
        <v>Korea Republic</v>
      </c>
      <c r="F53" s="59">
        <v>0</v>
      </c>
      <c r="G53" s="60">
        <v>1</v>
      </c>
      <c r="H53" s="101" t="str">
        <f>AC50</f>
        <v>Belgium</v>
      </c>
      <c r="I53" s="130" t="str">
        <f>INDEX(T,114,lang)</f>
        <v>Sao Paulo</v>
      </c>
      <c r="J53" s="131"/>
      <c r="K53" s="132"/>
      <c r="M53" s="23" t="str">
        <f>VLOOKUP(3,AB50:AL53,2,FALSE)</f>
        <v>Russia</v>
      </c>
      <c r="N53" s="29">
        <f>O53+P53+Q53</f>
        <v>3</v>
      </c>
      <c r="O53" s="29">
        <f>VLOOKUP(3,AB50:AL53,3,FALSE)</f>
        <v>0</v>
      </c>
      <c r="P53" s="29">
        <f>VLOOKUP(3,AB50:AL53,4,FALSE)</f>
        <v>2</v>
      </c>
      <c r="Q53" s="29">
        <f>VLOOKUP(3,AB50:AL53,5,FALSE)</f>
        <v>1</v>
      </c>
      <c r="R53" s="29" t="str">
        <f>VLOOKUP(3,AB50:AL53,6,FALSE) &amp; " - " &amp; VLOOKUP(3,AB50:AL53,7,FALSE)</f>
        <v>2 - 3</v>
      </c>
      <c r="S53" s="30">
        <f>O53*3+P53</f>
        <v>2</v>
      </c>
      <c r="U53" s="65">
        <f>DATE(2014,6,26)+TIME(9,0,0)+gmt_delta</f>
        <v>41816.541666666664</v>
      </c>
      <c r="V53" s="71" t="str">
        <f t="shared" si="4"/>
        <v>Korea Republic_lose</v>
      </c>
      <c r="W53" s="71" t="str">
        <f t="shared" si="2"/>
        <v>Belgium_win</v>
      </c>
      <c r="X53" s="66">
        <f t="shared" si="5"/>
        <v>0</v>
      </c>
      <c r="Y53" s="65">
        <f t="shared" si="6"/>
        <v>0</v>
      </c>
      <c r="Z53" s="65">
        <f t="shared" si="7"/>
        <v>0</v>
      </c>
      <c r="AB53" s="65">
        <f>COUNTIF(AO50:AO53,CONCATENATE("&gt;=",AO53))</f>
        <v>4</v>
      </c>
      <c r="AC53" s="66" t="str">
        <f>INDEX(T,44,lang)</f>
        <v>Korea Republic</v>
      </c>
      <c r="AD53" s="65">
        <f>COUNTIF($V$7:$W$54,"=" &amp; AC53 &amp; "_win")</f>
        <v>0</v>
      </c>
      <c r="AE53" s="65">
        <f>COUNTIF($V$7:$W$54,"=" &amp; AC53 &amp; "_draw")</f>
        <v>1</v>
      </c>
      <c r="AF53" s="65">
        <f>COUNTIF($V$7:$W$54,"=" &amp; AC53 &amp; "_lose")</f>
        <v>2</v>
      </c>
      <c r="AG53" s="65">
        <f>SUMIF($E$7:$E$54,$AC53,$F$7:$F$54) + SUMIF($H$7:$H$54,$AC53,$G$7:$G$54)</f>
        <v>3</v>
      </c>
      <c r="AH53" s="65">
        <f>SUMIF($E$7:$E$54,$AC53,$G$7:$G$54) + SUMIF($H$7:$H$54,$AC53,$F$7:$F$54)</f>
        <v>6</v>
      </c>
      <c r="AI53" s="65">
        <f>(AG53-AH53)*100+AL53*10000+AG53</f>
        <v>9703</v>
      </c>
      <c r="AJ53" s="65">
        <f>AG53-AH53</f>
        <v>-3</v>
      </c>
      <c r="AK53" s="65">
        <f>(AJ53-AJ55)/AJ54</f>
        <v>0</v>
      </c>
      <c r="AL53" s="65">
        <f>AD53*3+AE53</f>
        <v>1</v>
      </c>
      <c r="AM53" s="65">
        <f>AQ53/AQ54*1000+AR53/AR54*100+AU53/AU54*10+AS53/AS54</f>
        <v>0</v>
      </c>
      <c r="AN53" s="65">
        <f>VLOOKUP(AC53,db_fifarank,2,FALSE)/2000000</f>
        <v>2.7549999999999997E-4</v>
      </c>
      <c r="AO53" s="66">
        <f>1000*AL53/AL54+100*AK53+10*AG53/AG54+1*AM53/AM54+AN53</f>
        <v>117.11138661111112</v>
      </c>
      <c r="AQ53" s="68">
        <f>SUMPRODUCT(($V$7:$V$54=AC53&amp;"_win")*($X$7:$X$54))+SUMPRODUCT(($W$7:$W$54=AC53&amp;"_win")*($X$7:$X$54))</f>
        <v>0</v>
      </c>
      <c r="AR53" s="69">
        <f>SUMPRODUCT(($V$7:$V$54=AC53&amp;"_draw")*($X$7:$X$54))+SUMPRODUCT(($W$7:$W$54=AC53&amp;"_draw")*($X$7:$X$54))</f>
        <v>0</v>
      </c>
      <c r="AS53" s="69">
        <f>SUMPRODUCT(($E$7:$E$54=AC53)*($X$7:$X$54)*($F$7:$F$54))+SUMPRODUCT(($H$7:$H$54=AC53)*($X$7:$X$54)*($G$7:$G$54))</f>
        <v>0</v>
      </c>
      <c r="AT53" s="69">
        <f>SUMPRODUCT(($E$7:$E$54=AC53)*($X$7:$X$54)*($G$7:$G$54))+SUMPRODUCT(($H$7:$H$54=AC53)*($X$7:$X$54)*($F$7:$F$54))</f>
        <v>0</v>
      </c>
      <c r="AU53" s="69">
        <f>AS53-AT53</f>
        <v>0</v>
      </c>
    </row>
    <row r="54" spans="1:47">
      <c r="A54" s="95">
        <v>48</v>
      </c>
      <c r="B54" s="96" t="str">
        <f t="shared" si="0"/>
        <v>Thu</v>
      </c>
      <c r="C54" s="97" t="str">
        <f t="shared" si="1"/>
        <v>Jun 26, 2014</v>
      </c>
      <c r="D54" s="98">
        <f t="shared" si="3"/>
        <v>0.54166666666666663</v>
      </c>
      <c r="E54" s="99" t="str">
        <f>AC51</f>
        <v>Algeria</v>
      </c>
      <c r="F54" s="61">
        <v>1</v>
      </c>
      <c r="G54" s="62">
        <v>1</v>
      </c>
      <c r="H54" s="102" t="str">
        <f>AC52</f>
        <v>Russia</v>
      </c>
      <c r="I54" s="143" t="str">
        <f>INDEX(T,106,lang)</f>
        <v>Curitiba</v>
      </c>
      <c r="J54" s="144"/>
      <c r="K54" s="145"/>
      <c r="M54" s="24" t="str">
        <f>VLOOKUP(4,AB50:AL53,2,FALSE)</f>
        <v>Korea Republic</v>
      </c>
      <c r="N54" s="31">
        <f>O54+P54+Q54</f>
        <v>3</v>
      </c>
      <c r="O54" s="31">
        <f>VLOOKUP(4,AB50:AL53,3,FALSE)</f>
        <v>0</v>
      </c>
      <c r="P54" s="31">
        <f>VLOOKUP(4,AB50:AL53,4,FALSE)</f>
        <v>1</v>
      </c>
      <c r="Q54" s="31">
        <f>VLOOKUP(4,AB50:AL53,5,FALSE)</f>
        <v>2</v>
      </c>
      <c r="R54" s="31" t="str">
        <f>VLOOKUP(4,AB50:AL53,6,FALSE) &amp; " - " &amp; VLOOKUP(4,AB50:AL53,7,FALSE)</f>
        <v>3 - 6</v>
      </c>
      <c r="S54" s="32">
        <f>O54*3+P54</f>
        <v>1</v>
      </c>
      <c r="U54" s="65">
        <f>DATE(2014,6,26)+TIME(9,0,0)+gmt_delta</f>
        <v>41816.541666666664</v>
      </c>
      <c r="V54" s="71" t="str">
        <f t="shared" si="4"/>
        <v>Algeria_draw</v>
      </c>
      <c r="W54" s="71" t="str">
        <f t="shared" si="2"/>
        <v>Russia_draw</v>
      </c>
      <c r="X54" s="66">
        <f t="shared" si="5"/>
        <v>0</v>
      </c>
      <c r="Y54" s="65">
        <f t="shared" si="6"/>
        <v>0</v>
      </c>
      <c r="Z54" s="65">
        <f t="shared" si="7"/>
        <v>0</v>
      </c>
      <c r="AD54" s="65">
        <f t="shared" ref="AD54:AM54" si="15">MAX(AD50:AD53)-MIN(AD50:AD53)+1</f>
        <v>4</v>
      </c>
      <c r="AE54" s="65">
        <f t="shared" si="15"/>
        <v>3</v>
      </c>
      <c r="AF54" s="65">
        <f t="shared" si="15"/>
        <v>3</v>
      </c>
      <c r="AG54" s="65">
        <f t="shared" si="15"/>
        <v>5</v>
      </c>
      <c r="AH54" s="65">
        <f t="shared" si="15"/>
        <v>6</v>
      </c>
      <c r="AI54" s="65">
        <f>MAX(AI50:AI53)-AI55+1</f>
        <v>80602</v>
      </c>
      <c r="AJ54" s="65">
        <f>MAX(AJ50:AJ53)-AJ55+1</f>
        <v>7</v>
      </c>
      <c r="AL54" s="65">
        <f t="shared" si="15"/>
        <v>9</v>
      </c>
      <c r="AM54" s="65">
        <f t="shared" si="15"/>
        <v>1</v>
      </c>
      <c r="AQ54" s="65">
        <f>MAX(AQ50:AQ53)-MIN(AQ50:AQ53)+1</f>
        <v>1</v>
      </c>
      <c r="AR54" s="65">
        <f>MAX(AR50:AR53)-MIN(AR50:AR53)+1</f>
        <v>1</v>
      </c>
      <c r="AS54" s="65">
        <f>MAX(AS50:AS53)-MIN(AS50:AS53)+1</f>
        <v>1</v>
      </c>
      <c r="AT54" s="65">
        <f>MAX(AT50:AT53)-MIN(AT50:AT53)+1</f>
        <v>1</v>
      </c>
      <c r="AU54" s="65">
        <f>MAX(AU50:AU53)-MIN(AU50:AU53)+1</f>
        <v>1</v>
      </c>
    </row>
    <row r="55" spans="1:47">
      <c r="A55" s="73"/>
      <c r="B55" s="74"/>
      <c r="C55" s="73"/>
      <c r="D55" s="75"/>
      <c r="E55" s="76"/>
      <c r="F55" s="83"/>
      <c r="G55" s="83"/>
      <c r="H55" s="77"/>
      <c r="I55" s="78"/>
      <c r="J55" s="79"/>
      <c r="K55" s="79"/>
      <c r="L55" s="80"/>
      <c r="M55" s="81"/>
      <c r="N55" s="73"/>
      <c r="O55" s="73"/>
      <c r="P55" s="73"/>
      <c r="Q55" s="73"/>
      <c r="R55" s="73"/>
      <c r="S55" s="73"/>
      <c r="AI55" s="65">
        <f>MIN(AI50:AI53)</f>
        <v>9703</v>
      </c>
      <c r="AJ55" s="65">
        <f>MIN(AJ50:AJ53)</f>
        <v>-3</v>
      </c>
    </row>
    <row r="56" spans="1:47" ht="12.75" customHeight="1">
      <c r="B56" s="146" t="s">
        <v>2713</v>
      </c>
      <c r="C56" s="147"/>
      <c r="D56" s="147"/>
      <c r="E56" s="148"/>
      <c r="F56" s="82"/>
      <c r="G56" s="152" t="s">
        <v>2712</v>
      </c>
      <c r="H56" s="153"/>
      <c r="I56" s="153"/>
      <c r="J56" s="153"/>
      <c r="K56" s="154"/>
      <c r="L56" s="26"/>
      <c r="M56" s="137" t="s">
        <v>2710</v>
      </c>
      <c r="N56" s="138"/>
      <c r="O56" s="138"/>
      <c r="P56" s="138" t="s">
        <v>2711</v>
      </c>
      <c r="Q56" s="138"/>
      <c r="R56" s="138"/>
      <c r="S56" s="141"/>
    </row>
    <row r="57" spans="1:47" ht="12.75" customHeight="1">
      <c r="B57" s="149"/>
      <c r="C57" s="150"/>
      <c r="D57" s="150"/>
      <c r="E57" s="151"/>
      <c r="F57" s="82"/>
      <c r="G57" s="155"/>
      <c r="H57" s="156"/>
      <c r="I57" s="156"/>
      <c r="J57" s="156"/>
      <c r="K57" s="157"/>
      <c r="L57" s="26"/>
      <c r="M57" s="139"/>
      <c r="N57" s="140"/>
      <c r="O57" s="140"/>
      <c r="P57" s="140"/>
      <c r="Q57" s="140"/>
      <c r="R57" s="140"/>
      <c r="S57" s="142"/>
    </row>
    <row r="58" spans="1:47">
      <c r="U58" s="65">
        <f>DATE(2014,6,28)+TIME(5,0,0)+gmt_delta</f>
        <v>41818.375</v>
      </c>
      <c r="V58" s="71" t="str">
        <f>IF(OR(BB10="",BB11=""),"",IF(BB10&gt;BB11,BA10,IF(BB10&lt;BB11,BA11,IF(OR(BC10="",BC11=""),"draw",IF(BC10&gt;BC11,BA10,IF(BC10&lt;BC11,BA11,"draw"))))))</f>
        <v>Brazil</v>
      </c>
      <c r="W58" s="71" t="str">
        <f>IF(OR(V58="",V58="draw"),INDEX(T,86,lang),V58)</f>
        <v>Brazil</v>
      </c>
    </row>
    <row r="59" spans="1:47" ht="12.75" customHeight="1">
      <c r="U59" s="65">
        <f>DATE(2014,6,28)+TIME(9,0,0)+gmt_delta</f>
        <v>41818.541666666664</v>
      </c>
      <c r="V59" s="71" t="str">
        <f>IF(OR(BB14="",BB15=""),"",IF(BB14&gt;BB15,BA14,IF(BB14&lt;BB15,BA15,IF(OR(BC14="",BC15=""),"draw",IF(BC14&gt;BC15,BA14,IF(BC14&lt;BC15,BA15,"draw"))))))</f>
        <v>Colombia</v>
      </c>
      <c r="W59" s="71" t="str">
        <f>IF(OR(V59="",V59="draw"),INDEX(T,87,lang),V59)</f>
        <v>Colombia</v>
      </c>
    </row>
    <row r="60" spans="1:47" ht="12.75" customHeight="1">
      <c r="U60" s="65">
        <f>DATE(2014,6,29)+TIME(5,0,0)+gmt_delta</f>
        <v>41819.375</v>
      </c>
      <c r="V60" s="71" t="str">
        <f>IF(OR(BB26="",BB27=""),"",IF(BB26&gt;BB27,BA26,IF(BB26&lt;BB27,BA27,IF(OR(BC26="",BC27=""),"draw",IF(BC26&gt;BC27,BA26,IF(BC26&lt;BC27,BA27,"draw"))))))</f>
        <v>Netherlands</v>
      </c>
      <c r="W60" s="71" t="str">
        <f>IF(OR(V60="",V60="draw"),INDEX(T,88,lang),V60)</f>
        <v>Netherlands</v>
      </c>
    </row>
    <row r="61" spans="1:47" ht="12.75" customHeight="1">
      <c r="U61" s="65">
        <f>DATE(2014,6,29)+TIME(9,0,0)+gmt_delta</f>
        <v>41819.541666666664</v>
      </c>
      <c r="V61" s="71" t="str">
        <f>IF(OR(BB30="",BB31=""),"",IF(BB30&gt;BB31,BA30,IF(BB30&lt;BB31,BA31,IF(OR(BC30="",BC31=""),"draw",IF(BC30&gt;BC31,BA30,IF(BC30&lt;BC31,BA31,"draw"))))))</f>
        <v>Costa Rica</v>
      </c>
      <c r="W61" s="71" t="str">
        <f>IF(OR(V61="",V61="draw"),INDEX(T,89,lang),V61)</f>
        <v>Costa Rica</v>
      </c>
    </row>
    <row r="62" spans="1:47" ht="12.75" customHeight="1">
      <c r="U62" s="65">
        <f>DATE(2014,6,30)+TIME(5,0,0)+gmt_delta</f>
        <v>41820.375</v>
      </c>
      <c r="V62" s="71" t="str">
        <f>IF(OR(BB18="",BB19=""),"",IF(BB18&gt;BB19,BA18,IF(BB18&lt;BB19,BA19,IF(OR(BC18="",BC19=""),"draw",IF(BC18&gt;BC19,BA18,IF(BC18&lt;BC19,BA19,"draw"))))))</f>
        <v>France</v>
      </c>
      <c r="W62" s="71" t="str">
        <f>IF(OR(V62="",V62="draw"),INDEX(T,90,lang),V62)</f>
        <v>France</v>
      </c>
    </row>
    <row r="63" spans="1:47" ht="12.75" customHeight="1">
      <c r="U63" s="65">
        <f>DATE(2014,6,30)+TIME(9,0,0)+gmt_delta</f>
        <v>41820.541666666664</v>
      </c>
      <c r="V63" s="71" t="str">
        <f>IF(OR(BB22="",BB23=""),"",IF(BB22&gt;BB23,BA22,IF(BB22&lt;BB23,BA23,IF(OR(BC22="",BC23=""),"draw",IF(BC22&gt;BC23,BA22,IF(BC22&lt;BC23,BA23,"draw"))))))</f>
        <v>Germany</v>
      </c>
      <c r="W63" s="71" t="str">
        <f>IF(OR(V63="",V63="draw"),INDEX(T,91,lang),V63)</f>
        <v>Germany</v>
      </c>
    </row>
    <row r="64" spans="1:47" ht="12.75" customHeight="1">
      <c r="U64" s="65">
        <f>DATE(2014,7,1)+TIME(5,0,0)+gmt_delta</f>
        <v>41821.375</v>
      </c>
      <c r="V64" s="71" t="str">
        <f>IF(OR(BB34="",BB35=""),"",IF(BB34&gt;BB35,BA34,IF(BB34&lt;BB35,BA35,IF(OR(BC34="",BC35=""),"draw",IF(BC34&gt;BC35,BA34,IF(BC34&lt;BC35,BA35,"draw"))))))</f>
        <v>Argentina</v>
      </c>
      <c r="W64" s="71" t="str">
        <f>IF(OR(V64="",V64="draw"),INDEX(T,92,lang),V64)</f>
        <v>Argentina</v>
      </c>
    </row>
    <row r="65" spans="21:27" ht="12.75" customHeight="1">
      <c r="U65" s="65">
        <f>DATE(2014,7,1)+TIME(9,0,0)+gmt_delta</f>
        <v>41821.541666666664</v>
      </c>
      <c r="V65" s="71" t="str">
        <f>IF(OR(BB38="",BB39=""),"",IF(BB38&gt;BB39,BA38,IF(BB38&lt;BB39,BA39,IF(OR(BC38="",BC39=""),"draw",IF(BC38&gt;BC39,BA38,IF(BC38&lt;BC39,BA39,"draw"))))))</f>
        <v>Belgium</v>
      </c>
      <c r="W65" s="71" t="str">
        <f>IF(OR(V65="",V65="draw"),INDEX(T,93,lang),V65)</f>
        <v>Belgium</v>
      </c>
    </row>
    <row r="66" spans="21:27" ht="12.75" customHeight="1"/>
    <row r="67" spans="21:27" ht="12.75" customHeight="1"/>
    <row r="68" spans="21:27" ht="12.75" customHeight="1"/>
    <row r="69" spans="21:27" ht="12.75" customHeight="1">
      <c r="U69" s="65">
        <f>DATE(2014,7,4)+TIME(9,0,0)+gmt_delta</f>
        <v>41824.541666666664</v>
      </c>
      <c r="V69" s="71" t="str">
        <f>IF(OR(BH12="",BH13=""),"",IF(BH12&gt;BH13,BG12,IF(BH12&lt;BH13,BG13,IF(OR(BI12="",BI13=""),"draw",IF(BI12&gt;BI13,BG12,IF(BI12&lt;BI13,BG13,"draw"))))))</f>
        <v>Brazil</v>
      </c>
      <c r="W69" s="71" t="str">
        <f>IF(OR(V69="",V69="draw"),INDEX(T,94,lang),V69)</f>
        <v>Brazil</v>
      </c>
    </row>
    <row r="70" spans="21:27" ht="12.75" customHeight="1">
      <c r="U70" s="65">
        <f>DATE(2014,7,4)+TIME(5,0,0)+gmt_delta</f>
        <v>41824.375</v>
      </c>
      <c r="V70" s="71" t="str">
        <f>IF(OR(BH20="",BH21=""),"",IF(BH20&gt;BH21,BG20,IF(BH20&lt;BH21,BG21,IF(OR(BI20="",BI21=""),"draw",IF(BI20&gt;BI21,BG20,IF(BI20&lt;BI21,BG21,"draw"))))))</f>
        <v>Germany</v>
      </c>
      <c r="W70" s="71" t="str">
        <f>IF(OR(V70="",V70="draw"),INDEX(T,95,lang),V70)</f>
        <v>Germany</v>
      </c>
    </row>
    <row r="71" spans="21:27" ht="12.75" customHeight="1">
      <c r="U71" s="65">
        <f>DATE(2014,7,5)+TIME(9,0,0)+gmt_delta</f>
        <v>41825.541666666664</v>
      </c>
      <c r="V71" s="71" t="str">
        <f>IF(OR(BH28="",BH29=""),"",IF(BH28&gt;BH29,BG28,IF(BH28&lt;BH29,BG29,IF(OR(BI28="",BI29=""),"draw",IF(BI28&gt;BI29,BG28,IF(BI28&lt;BI29,BG29,"draw"))))))</f>
        <v>Netherlands</v>
      </c>
      <c r="W71" s="71" t="str">
        <f>IF(OR(V71="",V71="draw"),INDEX(T,96,lang),V71)</f>
        <v>Netherlands</v>
      </c>
    </row>
    <row r="72" spans="21:27" ht="12.75" customHeight="1">
      <c r="U72" s="65">
        <f>DATE(2014,7,5)+TIME(5,0,0)+gmt_delta</f>
        <v>41825.375</v>
      </c>
      <c r="V72" s="71" t="str">
        <f>IF(OR(BH36="",BH37=""),"",IF(BH36&gt;BH37,BG36,IF(BH36&lt;BH37,BG37,IF(OR(BI36="",BI37=""),"draw",IF(BI36&gt;BI37,BG36,IF(BI36&lt;BI37,BG37,"draw"))))))</f>
        <v>Argentina</v>
      </c>
      <c r="W72" s="71" t="str">
        <f>IF(OR(V72="",V72="draw"),INDEX(T,97,lang),V72)</f>
        <v>Argentina</v>
      </c>
    </row>
    <row r="73" spans="21:27" ht="12.75" customHeight="1"/>
    <row r="74" spans="21:27" ht="12.75" customHeight="1"/>
    <row r="75" spans="21:27" ht="12.75" customHeight="1"/>
    <row r="76" spans="21:27" ht="12.75" customHeight="1">
      <c r="U76" s="65">
        <f>DATE(2014,7,8)+TIME(9,0,0)+gmt_delta</f>
        <v>41828.541666666664</v>
      </c>
      <c r="V76" s="71" t="str">
        <f>IF(OR(BN16="",BN17=""),"",IF(BN16&gt;BN17,BM16,IF(BN16&lt;BN17,BM17,IF(OR(BO16="",BO17=""),"draw",IF(BO16&gt;BO17,BM16,IF(BO16&lt;BO17,BM17,"draw"))))))</f>
        <v>Germany</v>
      </c>
      <c r="W76" s="71" t="str">
        <f>IF(OR(V76="",V76="draw"),INDEX(T,98,lang),V76)</f>
        <v>Germany</v>
      </c>
      <c r="X76" s="71" t="str">
        <f>IF(OR(BN16="",BN17=""),"",IF(BN16&lt;BN17,BM16,IF(BN16&gt;BN17,BM17,IF(OR(BO16="",BO17=""),"draw",IF(BO16&lt;BO17,BM16,IF(BO16&gt;BO17,BM17,"draw"))))))</f>
        <v>Brazil</v>
      </c>
      <c r="AA76" s="71" t="str">
        <f>IF(OR(X76="",X76="draw"),INDEX(T,100,lang),X76)</f>
        <v>Brazil</v>
      </c>
    </row>
    <row r="77" spans="21:27" ht="12.75" customHeight="1">
      <c r="U77" s="65">
        <f>DATE(2014,7,9)+TIME(9,0,0)+gmt_delta</f>
        <v>41829.541666666664</v>
      </c>
      <c r="V77" s="71" t="str">
        <f>IF(OR(BN32="",BN33=""),"",IF(BN32&gt;BN33,BM32,IF(BN32&lt;BN33,BM33,IF(OR(BO32="",BO33=""),"draw",IF(BO32&gt;BO33,BM32,IF(BO32&lt;BO33,BM33,"draw"))))))</f>
        <v>Argentina</v>
      </c>
      <c r="W77" s="71" t="str">
        <f>IF(OR(V77="",V77="draw"),INDEX(T,99,lang),V77)</f>
        <v>Argentina</v>
      </c>
      <c r="X77" s="71" t="str">
        <f>IF(OR(BN32="",BN33=""),"",IF(BN32&lt;BN33,BM32,IF(BN32&gt;BN33,BM33,IF(OR(BO32="",BO33=""),"draw",IF(BO32&lt;BO33,BM32,IF(BO32&gt;BO33,BM33,"draw"))))))</f>
        <v>Netherlands</v>
      </c>
      <c r="AA77" s="71" t="str">
        <f>IF(OR(X77="",X77="draw"),INDEX(T,101,lang),X77)</f>
        <v>Netherlands</v>
      </c>
    </row>
    <row r="79" spans="21:27" ht="12.75" customHeight="1"/>
    <row r="80" spans="21:27" ht="12.75" customHeight="1"/>
    <row r="81" spans="21:23">
      <c r="U81" s="65">
        <f>DATE(2014,7,12)+TIME(9,0,0)+gmt_delta</f>
        <v>41832.541666666664</v>
      </c>
      <c r="W81" s="71" t="str">
        <f>IF(OR(BT35="",BT36=""),"",IF(BT35&gt;BT36,BS35,IF(BT35&lt;BT36,BS36,IF(OR(BU35="",BU36=""),"",IF(BU35&gt;BU36,BS35,IF(BU35&lt;BU36,BS36,""))))))</f>
        <v>Netherlands</v>
      </c>
    </row>
    <row r="83" spans="21:23" ht="12.75" customHeight="1"/>
    <row r="84" spans="21:23" ht="12.75" customHeight="1"/>
    <row r="85" spans="21:23">
      <c r="U85" s="65">
        <f>DATE(2014,7,13)+TIME(8,0,0)+gmt_delta</f>
        <v>41833.5</v>
      </c>
      <c r="V85" s="71" t="str">
        <f>IF(OR(BT23="",BT24=""),"",IF(BT23&gt;BT24,BS23,IF(BT23&lt;BT24,BS24,IF(OR(BU23="",BU24=""),"",IF(BU23&gt;BU24,BS23,IF(BU23&lt;BU24,BS24,""))))))</f>
        <v>Germany</v>
      </c>
      <c r="W85" s="71" t="str">
        <f>V85</f>
        <v>Germany</v>
      </c>
    </row>
    <row r="87" spans="21:23" ht="12.75" customHeight="1"/>
    <row r="88" spans="21:23" ht="12.75" customHeight="1"/>
    <row r="96" spans="21:23" ht="12.75" customHeight="1"/>
    <row r="97" ht="12.75" customHeight="1"/>
  </sheetData>
  <mergeCells count="81">
    <mergeCell ref="I25:K25"/>
    <mergeCell ref="I21:K21"/>
    <mergeCell ref="I19:K19"/>
    <mergeCell ref="A1:S1"/>
    <mergeCell ref="M5:S6"/>
    <mergeCell ref="R3:S3"/>
    <mergeCell ref="A5:K6"/>
    <mergeCell ref="C3:F3"/>
    <mergeCell ref="H3:K3"/>
    <mergeCell ref="B56:E57"/>
    <mergeCell ref="I49:K49"/>
    <mergeCell ref="I26:K26"/>
    <mergeCell ref="I45:K45"/>
    <mergeCell ref="I41:K41"/>
    <mergeCell ref="I32:K32"/>
    <mergeCell ref="I44:K44"/>
    <mergeCell ref="I46:K46"/>
    <mergeCell ref="G56:K57"/>
    <mergeCell ref="I38:K38"/>
    <mergeCell ref="I35:K35"/>
    <mergeCell ref="I37:K37"/>
    <mergeCell ref="I40:K40"/>
    <mergeCell ref="I42:K42"/>
    <mergeCell ref="I43:K43"/>
    <mergeCell ref="M56:O57"/>
    <mergeCell ref="P56:S57"/>
    <mergeCell ref="I47:K47"/>
    <mergeCell ref="I53:K53"/>
    <mergeCell ref="I48:K48"/>
    <mergeCell ref="I50:K50"/>
    <mergeCell ref="I51:K51"/>
    <mergeCell ref="I54:K54"/>
    <mergeCell ref="I52:K52"/>
    <mergeCell ref="BK41:BO42"/>
    <mergeCell ref="BP41:BU42"/>
    <mergeCell ref="I23:K23"/>
    <mergeCell ref="I24:K24"/>
    <mergeCell ref="I28:K28"/>
    <mergeCell ref="I36:K36"/>
    <mergeCell ref="I29:K29"/>
    <mergeCell ref="I33:K33"/>
    <mergeCell ref="I30:K30"/>
    <mergeCell ref="I31:K31"/>
    <mergeCell ref="I39:K39"/>
    <mergeCell ref="I27:K27"/>
    <mergeCell ref="I34:K34"/>
    <mergeCell ref="AZ38:AZ39"/>
    <mergeCell ref="BR35:BR36"/>
    <mergeCell ref="BF36:BF37"/>
    <mergeCell ref="AZ18:AZ19"/>
    <mergeCell ref="AZ34:AZ35"/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I17:K17"/>
    <mergeCell ref="I18:K18"/>
    <mergeCell ref="I20:K20"/>
    <mergeCell ref="I22:K22"/>
    <mergeCell ref="AZ6:BC7"/>
    <mergeCell ref="BF6:BI7"/>
    <mergeCell ref="BL6:BO7"/>
    <mergeCell ref="BR6:BU7"/>
    <mergeCell ref="BR31:BU32"/>
    <mergeCell ref="BL16:BL17"/>
    <mergeCell ref="BL32:BL33"/>
    <mergeCell ref="BR23:BR24"/>
    <mergeCell ref="AZ22:AZ23"/>
    <mergeCell ref="AZ10:AZ11"/>
    <mergeCell ref="BF12:BF13"/>
    <mergeCell ref="BF20:BF21"/>
    <mergeCell ref="BF28:BF29"/>
    <mergeCell ref="AZ14:AZ15"/>
    <mergeCell ref="AZ26:AZ27"/>
    <mergeCell ref="AZ30:AZ31"/>
  </mergeCells>
  <phoneticPr fontId="2" type="noConversion"/>
  <conditionalFormatting sqref="F7:F55">
    <cfRule type="expression" dxfId="99" priority="128" stopIfTrue="1">
      <formula>IF(AND($F7&gt;$G7,ISNUMBER($F7),ISNUMBER($G7)),1,0)</formula>
    </cfRule>
  </conditionalFormatting>
  <conditionalFormatting sqref="G7:G55">
    <cfRule type="expression" dxfId="98" priority="129" stopIfTrue="1">
      <formula>IF(AND($F7&lt;$G7,ISNUMBER($F7),ISNUMBER($G7)),1,0)</formula>
    </cfRule>
  </conditionalFormatting>
  <conditionalFormatting sqref="M15:S15 M9:S9 M45:S45 M21:S21 M27:S27 M33:S33 M39:S39 M51:S51">
    <cfRule type="expression" dxfId="97" priority="136" stopIfTrue="1">
      <formula>IF(SUM($N9:$N12)=12,1,0)</formula>
    </cfRule>
  </conditionalFormatting>
  <conditionalFormatting sqref="M16:S16 M10:S10 M46:S46 M22:S22 M28:S28 M34:S34 M40:S40 M52:S52">
    <cfRule type="expression" dxfId="96" priority="137" stopIfTrue="1">
      <formula>IF(SUM($N9:$N12)=12,1,0)</formula>
    </cfRule>
  </conditionalFormatting>
  <conditionalFormatting sqref="M18:S18 M12:S12 M48:S48 M24:S24 M30:S30 M36:S36 M42:S42 M54:S55">
    <cfRule type="expression" dxfId="95" priority="139" stopIfTrue="1">
      <formula>IF(SUM($N9:$N12)=12,1,0)</formula>
    </cfRule>
  </conditionalFormatting>
  <conditionalFormatting sqref="M11:S11 M17:S17 M23:S23 M29:S29 M35:S35 M41:S41 M47:S47 M53:S53">
    <cfRule type="expression" dxfId="94" priority="147" stopIfTrue="1">
      <formula>IF(SUM($N9:$N12)=12,1,0)</formula>
    </cfRule>
  </conditionalFormatting>
  <conditionalFormatting sqref="E7:E55">
    <cfRule type="expression" dxfId="93" priority="154" stopIfTrue="1">
      <formula>IF(AND($F7&gt;$G7,ISNUMBER($F7),ISNUMBER($G7)),1,0)</formula>
    </cfRule>
    <cfRule type="expression" dxfId="92" priority="155" stopIfTrue="1">
      <formula>IF(AND($F7&lt;$G7,ISNUMBER($F7),ISNUMBER($G7)),1,0)</formula>
    </cfRule>
    <cfRule type="expression" dxfId="91" priority="156" stopIfTrue="1">
      <formula>IF(AND($F7=$G7,ISNUMBER($F7),ISNUMBER($G7)),1,0)</formula>
    </cfRule>
  </conditionalFormatting>
  <conditionalFormatting sqref="H7:H55">
    <cfRule type="expression" dxfId="90" priority="157" stopIfTrue="1">
      <formula>IF(AND($F7&lt;$G7,ISNUMBER($F7),ISNUMBER($G7)),1,0)</formula>
    </cfRule>
    <cfRule type="expression" dxfId="89" priority="158" stopIfTrue="1">
      <formula>IF(AND($F7&gt;$G7,ISNUMBER($F7),ISNUMBER($G7)),1,0)</formula>
    </cfRule>
    <cfRule type="expression" dxfId="88" priority="159" stopIfTrue="1">
      <formula>IF(AND($F7=$G7,ISNUMBER($F7),ISNUMBER($G7)),1,0)</formula>
    </cfRule>
  </conditionalFormatting>
  <conditionalFormatting sqref="BB10 BB14 BB34 BB38 BB26 BB30 BB18 BB22">
    <cfRule type="expression" dxfId="87" priority="226" stopIfTrue="1">
      <formula>IF(AND($BB10&gt;$BB11,ISNUMBER($BB10),ISNUMBER($BB11)),1,0)</formula>
    </cfRule>
  </conditionalFormatting>
  <conditionalFormatting sqref="BB11 BB15 BB35 BB39 BB27 BB31 BB19 BB23">
    <cfRule type="expression" dxfId="86" priority="227" stopIfTrue="1">
      <formula>IF(AND($BB10&lt;$BB11,ISNUMBER($BB10),ISNUMBER($BB11)),1,0)</formula>
    </cfRule>
  </conditionalFormatting>
  <conditionalFormatting sqref="BC10 BC14 BC34 BC38 BC26 BC30 BC18 BC22">
    <cfRule type="expression" dxfId="85" priority="236" stopIfTrue="1">
      <formula>IF(AND($BC10&gt;$BC11,ISNUMBER($BC10),ISNUMBER($BC11)),1,0)</formula>
    </cfRule>
  </conditionalFormatting>
  <conditionalFormatting sqref="BC11 BC15 BC35 BC39 BC27 BC31 BC19 BC23">
    <cfRule type="expression" dxfId="84" priority="237" stopIfTrue="1">
      <formula>IF(AND($BC10&lt;$BC11,ISNUMBER($BC10),ISNUMBER($BC11)),1,0)</formula>
    </cfRule>
  </conditionalFormatting>
  <conditionalFormatting sqref="BH12 BH20 BH28 BH36">
    <cfRule type="expression" dxfId="83" priority="594" stopIfTrue="1">
      <formula>IF(AND($BH12&gt;$BH13,ISNUMBER($BH12),ISNUMBER($BH13)),1,0)</formula>
    </cfRule>
  </conditionalFormatting>
  <conditionalFormatting sqref="BH13 BH21 BH29 BH37">
    <cfRule type="expression" dxfId="82" priority="595" stopIfTrue="1">
      <formula>IF(AND($BH12&lt;$BH13,ISNUMBER($BH12),ISNUMBER($BH13)),1,0)</formula>
    </cfRule>
  </conditionalFormatting>
  <conditionalFormatting sqref="BI12 BI20 BI28 BI36">
    <cfRule type="expression" dxfId="81" priority="600" stopIfTrue="1">
      <formula>IF(AND($BI12&gt;$BI13,ISNUMBER($BI12),ISNUMBER($BI13)),1,0)</formula>
    </cfRule>
  </conditionalFormatting>
  <conditionalFormatting sqref="BI13 BI21 BI29 BI37">
    <cfRule type="expression" dxfId="80" priority="601" stopIfTrue="1">
      <formula>IF(AND($BI12&lt;$BI13,ISNUMBER($BI12),ISNUMBER($BI13)),1,0)</formula>
    </cfRule>
  </conditionalFormatting>
  <conditionalFormatting sqref="BN16 BN32">
    <cfRule type="expression" dxfId="79" priority="700" stopIfTrue="1">
      <formula>IF(AND($BN16&gt;$BN17,ISNUMBER($BN16),ISNUMBER($BN17)),1,0)</formula>
    </cfRule>
  </conditionalFormatting>
  <conditionalFormatting sqref="BN17 BN33">
    <cfRule type="expression" dxfId="78" priority="701" stopIfTrue="1">
      <formula>IF(AND($BN16&lt;$BN17,ISNUMBER($BN16),ISNUMBER($BN17)),1,0)</formula>
    </cfRule>
  </conditionalFormatting>
  <conditionalFormatting sqref="BO16 BO32">
    <cfRule type="expression" dxfId="77" priority="706" stopIfTrue="1">
      <formula>IF(AND($BO16&gt;$BO17,ISNUMBER($BO16),ISNUMBER($BO17)),1,0)</formula>
    </cfRule>
  </conditionalFormatting>
  <conditionalFormatting sqref="BO17 BO33">
    <cfRule type="expression" dxfId="76" priority="707" stopIfTrue="1">
      <formula>IF(AND($BO16&lt;$BO17,ISNUMBER($BO16),ISNUMBER($BO17)),1,0)</formula>
    </cfRule>
  </conditionalFormatting>
  <conditionalFormatting sqref="BT23 BT35">
    <cfRule type="expression" dxfId="75" priority="748" stopIfTrue="1">
      <formula>IF(AND($BT23&gt;$BT24,ISNUMBER($BT23),ISNUMBER($BT24)),1,0)</formula>
    </cfRule>
  </conditionalFormatting>
  <conditionalFormatting sqref="BT24 BT36">
    <cfRule type="expression" dxfId="74" priority="749" stopIfTrue="1">
      <formula>IF(AND($BT23&lt;$BT24,ISNUMBER($BT23),ISNUMBER($BT24)),1,0)</formula>
    </cfRule>
  </conditionalFormatting>
  <conditionalFormatting sqref="BU23 BU35">
    <cfRule type="expression" dxfId="73" priority="756" stopIfTrue="1">
      <formula>IF(AND($BU23&gt;$BU24,ISNUMBER($BU23),ISNUMBER($BU24)),1,0)</formula>
    </cfRule>
  </conditionalFormatting>
  <conditionalFormatting sqref="BU24 BU36">
    <cfRule type="expression" dxfId="72" priority="757" stopIfTrue="1">
      <formula>IF(AND($BU23&lt;$BU24,ISNUMBER($BU23),ISNUMBER($BU24)),1,0)</formula>
    </cfRule>
  </conditionalFormatting>
  <conditionalFormatting sqref="BA10">
    <cfRule type="expression" dxfId="71" priority="774" stopIfTrue="1">
      <formula>IF($BA10=$W58,1,0)</formula>
    </cfRule>
    <cfRule type="expression" dxfId="70" priority="775" stopIfTrue="1">
      <formula>IF($BA11=$W58,1,0)</formula>
    </cfRule>
  </conditionalFormatting>
  <conditionalFormatting sqref="BA11">
    <cfRule type="expression" dxfId="69" priority="776" stopIfTrue="1">
      <formula>IF($BA11=$W58,1,0)</formula>
    </cfRule>
    <cfRule type="expression" dxfId="68" priority="777" stopIfTrue="1">
      <formula>IF($BA10=$W58,1,0)</formula>
    </cfRule>
  </conditionalFormatting>
  <conditionalFormatting sqref="BA14">
    <cfRule type="expression" dxfId="67" priority="806" stopIfTrue="1">
      <formula>IF($BA14=$W59,1,0)</formula>
    </cfRule>
    <cfRule type="expression" dxfId="66" priority="807" stopIfTrue="1">
      <formula>IF($BA15=$W59,1,0)</formula>
    </cfRule>
  </conditionalFormatting>
  <conditionalFormatting sqref="BA15">
    <cfRule type="expression" dxfId="65" priority="808" stopIfTrue="1">
      <formula>IF($BA15=$W59,1,0)</formula>
    </cfRule>
    <cfRule type="expression" dxfId="64" priority="809" stopIfTrue="1">
      <formula>IF($BA14=$W59,1,0)</formula>
    </cfRule>
  </conditionalFormatting>
  <conditionalFormatting sqref="BA34">
    <cfRule type="expression" dxfId="63" priority="810" stopIfTrue="1">
      <formula>IF($BA34=$W64,1,0)</formula>
    </cfRule>
    <cfRule type="expression" dxfId="62" priority="811" stopIfTrue="1">
      <formula>IF($BA35=$W64,1,0)</formula>
    </cfRule>
  </conditionalFormatting>
  <conditionalFormatting sqref="BA35">
    <cfRule type="expression" dxfId="61" priority="812" stopIfTrue="1">
      <formula>IF($BA35=$W64,1,0)</formula>
    </cfRule>
    <cfRule type="expression" dxfId="60" priority="813" stopIfTrue="1">
      <formula>IF($BA34=$W64,1,0)</formula>
    </cfRule>
  </conditionalFormatting>
  <conditionalFormatting sqref="BA38">
    <cfRule type="expression" dxfId="59" priority="814" stopIfTrue="1">
      <formula>IF($BA38=$W65,1,0)</formula>
    </cfRule>
    <cfRule type="expression" dxfId="58" priority="815" stopIfTrue="1">
      <formula>IF($BA39=$W65,1,0)</formula>
    </cfRule>
  </conditionalFormatting>
  <conditionalFormatting sqref="BA39">
    <cfRule type="expression" dxfId="57" priority="816" stopIfTrue="1">
      <formula>IF($BA39=$W65,1,0)</formula>
    </cfRule>
    <cfRule type="expression" dxfId="56" priority="817" stopIfTrue="1">
      <formula>IF($BA38=$W65,1,0)</formula>
    </cfRule>
  </conditionalFormatting>
  <conditionalFormatting sqref="BA26">
    <cfRule type="expression" dxfId="55" priority="818" stopIfTrue="1">
      <formula>IF($BA26=$W60,1,0)</formula>
    </cfRule>
    <cfRule type="expression" dxfId="54" priority="819" stopIfTrue="1">
      <formula>IF($BA27=$W60,1,0)</formula>
    </cfRule>
  </conditionalFormatting>
  <conditionalFormatting sqref="BA27">
    <cfRule type="expression" dxfId="53" priority="820" stopIfTrue="1">
      <formula>IF($BA27=$W60,1,0)</formula>
    </cfRule>
    <cfRule type="expression" dxfId="52" priority="821" stopIfTrue="1">
      <formula>IF($BA26=$W60,1,0)</formula>
    </cfRule>
  </conditionalFormatting>
  <conditionalFormatting sqref="BA30">
    <cfRule type="expression" dxfId="51" priority="822" stopIfTrue="1">
      <formula>IF($BA30=$W61,1,0)</formula>
    </cfRule>
    <cfRule type="expression" dxfId="50" priority="823" stopIfTrue="1">
      <formula>IF($BA31=$W61,1,0)</formula>
    </cfRule>
  </conditionalFormatting>
  <conditionalFormatting sqref="BA31">
    <cfRule type="expression" dxfId="49" priority="824" stopIfTrue="1">
      <formula>IF($BA31=$W61,1,0)</formula>
    </cfRule>
    <cfRule type="expression" dxfId="48" priority="825" stopIfTrue="1">
      <formula>IF($BA30=$W61,1,0)</formula>
    </cfRule>
  </conditionalFormatting>
  <conditionalFormatting sqref="BA18">
    <cfRule type="expression" dxfId="47" priority="826" stopIfTrue="1">
      <formula>IF($BA18=$W62,1,0)</formula>
    </cfRule>
    <cfRule type="expression" dxfId="46" priority="827" stopIfTrue="1">
      <formula>IF($BA19=$W62,1,0)</formula>
    </cfRule>
  </conditionalFormatting>
  <conditionalFormatting sqref="BA19">
    <cfRule type="expression" dxfId="45" priority="828" stopIfTrue="1">
      <formula>IF($BA19=$W62,1,0)</formula>
    </cfRule>
    <cfRule type="expression" dxfId="44" priority="829" stopIfTrue="1">
      <formula>IF($BA18=$W62,1,0)</formula>
    </cfRule>
  </conditionalFormatting>
  <conditionalFormatting sqref="BA22">
    <cfRule type="expression" dxfId="43" priority="830" stopIfTrue="1">
      <formula>IF($BA22=$W63,1,0)</formula>
    </cfRule>
    <cfRule type="expression" dxfId="42" priority="831" stopIfTrue="1">
      <formula>IF($BA23=$W63,1,0)</formula>
    </cfRule>
  </conditionalFormatting>
  <conditionalFormatting sqref="BA23">
    <cfRule type="expression" dxfId="41" priority="832" stopIfTrue="1">
      <formula>IF($BA23=$W63,1,0)</formula>
    </cfRule>
    <cfRule type="expression" dxfId="40" priority="833" stopIfTrue="1">
      <formula>IF($BA22=$W63,1,0)</formula>
    </cfRule>
  </conditionalFormatting>
  <conditionalFormatting sqref="BG12">
    <cfRule type="expression" dxfId="39" priority="834" stopIfTrue="1">
      <formula>IF($BG12=$W69,1,0)</formula>
    </cfRule>
    <cfRule type="expression" dxfId="38" priority="835" stopIfTrue="1">
      <formula>IF($BG13=$W69,1,0)</formula>
    </cfRule>
  </conditionalFormatting>
  <conditionalFormatting sqref="BG13">
    <cfRule type="expression" dxfId="37" priority="836" stopIfTrue="1">
      <formula>IF($BG13=$W69,1,0)</formula>
    </cfRule>
    <cfRule type="expression" dxfId="36" priority="837" stopIfTrue="1">
      <formula>IF($BG12=$W69,1,0)</formula>
    </cfRule>
  </conditionalFormatting>
  <conditionalFormatting sqref="BG20">
    <cfRule type="expression" dxfId="35" priority="850" stopIfTrue="1">
      <formula>IF($BG20=$W70,1,0)</formula>
    </cfRule>
    <cfRule type="expression" dxfId="34" priority="851" stopIfTrue="1">
      <formula>IF($BG21=$W70,1,0)</formula>
    </cfRule>
  </conditionalFormatting>
  <conditionalFormatting sqref="BG21">
    <cfRule type="expression" dxfId="33" priority="852" stopIfTrue="1">
      <formula>IF($BG21=$W70,1,0)</formula>
    </cfRule>
    <cfRule type="expression" dxfId="32" priority="853" stopIfTrue="1">
      <formula>IF($BG20=$W70,1,0)</formula>
    </cfRule>
  </conditionalFormatting>
  <conditionalFormatting sqref="BG28">
    <cfRule type="expression" dxfId="31" priority="854" stopIfTrue="1">
      <formula>IF($BG28=$W71,1,0)</formula>
    </cfRule>
    <cfRule type="expression" dxfId="30" priority="855" stopIfTrue="1">
      <formula>IF($BG29=$W71,1,0)</formula>
    </cfRule>
  </conditionalFormatting>
  <conditionalFormatting sqref="BG29">
    <cfRule type="expression" dxfId="29" priority="856" stopIfTrue="1">
      <formula>IF($BG29=$W71,1,0)</formula>
    </cfRule>
    <cfRule type="expression" dxfId="28" priority="857" stopIfTrue="1">
      <formula>IF($BG28=$W71,1,0)</formula>
    </cfRule>
  </conditionalFormatting>
  <conditionalFormatting sqref="BG36">
    <cfRule type="expression" dxfId="27" priority="858" stopIfTrue="1">
      <formula>IF($BG36=$W72,1,0)</formula>
    </cfRule>
    <cfRule type="expression" dxfId="26" priority="859" stopIfTrue="1">
      <formula>IF($BG37=$W72,1,0)</formula>
    </cfRule>
  </conditionalFormatting>
  <conditionalFormatting sqref="BG37">
    <cfRule type="expression" dxfId="25" priority="860" stopIfTrue="1">
      <formula>IF($BG37=$W72,1,0)</formula>
    </cfRule>
    <cfRule type="expression" dxfId="24" priority="861" stopIfTrue="1">
      <formula>IF($BG36=$W72,1,0)</formula>
    </cfRule>
  </conditionalFormatting>
  <conditionalFormatting sqref="BM16">
    <cfRule type="expression" dxfId="23" priority="862" stopIfTrue="1">
      <formula>IF($BM16=$W76,1,0)</formula>
    </cfRule>
    <cfRule type="expression" dxfId="22" priority="863" stopIfTrue="1">
      <formula>IF($BM17=$W76,1,0)</formula>
    </cfRule>
  </conditionalFormatting>
  <conditionalFormatting sqref="BM17">
    <cfRule type="expression" dxfId="21" priority="864" stopIfTrue="1">
      <formula>IF($BM17=$W76,1,0)</formula>
    </cfRule>
    <cfRule type="expression" dxfId="20" priority="865" stopIfTrue="1">
      <formula>IF($BM16=$W76,1,0)</formula>
    </cfRule>
  </conditionalFormatting>
  <conditionalFormatting sqref="BM32">
    <cfRule type="expression" dxfId="19" priority="870" stopIfTrue="1">
      <formula>IF($BM32=$W77,1,0)</formula>
    </cfRule>
    <cfRule type="expression" dxfId="18" priority="871" stopIfTrue="1">
      <formula>IF($BM33=$W77,1,0)</formula>
    </cfRule>
  </conditionalFormatting>
  <conditionalFormatting sqref="BM33">
    <cfRule type="expression" dxfId="17" priority="872" stopIfTrue="1">
      <formula>IF($BM33=$W77,1,0)</formula>
    </cfRule>
    <cfRule type="expression" dxfId="16" priority="873" stopIfTrue="1">
      <formula>IF($BM32=$W77,1,0)</formula>
    </cfRule>
  </conditionalFormatting>
  <conditionalFormatting sqref="BS23">
    <cfRule type="expression" dxfId="15" priority="874" stopIfTrue="1">
      <formula>IF($BS23=$W85,1,0)</formula>
    </cfRule>
    <cfRule type="expression" dxfId="14" priority="875" stopIfTrue="1">
      <formula>IF($BS24=$W85,1,0)</formula>
    </cfRule>
  </conditionalFormatting>
  <conditionalFormatting sqref="BS24">
    <cfRule type="expression" dxfId="13" priority="876" stopIfTrue="1">
      <formula>IF($BS24=$W85,1,0)</formula>
    </cfRule>
    <cfRule type="expression" dxfId="12" priority="877" stopIfTrue="1">
      <formula>IF($BS23=$W85,1,0)</formula>
    </cfRule>
  </conditionalFormatting>
  <conditionalFormatting sqref="BS35">
    <cfRule type="expression" dxfId="11" priority="882" stopIfTrue="1">
      <formula>IF($BS35=$W81,1,0)</formula>
    </cfRule>
    <cfRule type="expression" dxfId="10" priority="883" stopIfTrue="1">
      <formula>IF($BS36=$W81,1,0)</formula>
    </cfRule>
  </conditionalFormatting>
  <conditionalFormatting sqref="BS36">
    <cfRule type="expression" dxfId="9" priority="884" stopIfTrue="1">
      <formula>IF($BS36=$W81,1,0)</formula>
    </cfRule>
    <cfRule type="expression" dxfId="8" priority="885" stopIfTrue="1">
      <formula>IF($BS35=$W81,1,0)</formula>
    </cfRule>
  </conditionalFormatting>
  <conditionalFormatting sqref="F7:F22">
    <cfRule type="expression" dxfId="7" priority="8" stopIfTrue="1">
      <formula>IF(AND($F7&gt;$G7,ISNUMBER($F7),ISNUMBER($G7)),1,0)</formula>
    </cfRule>
  </conditionalFormatting>
  <conditionalFormatting sqref="G7:G22">
    <cfRule type="expression" dxfId="6" priority="7" stopIfTrue="1">
      <formula>IF(AND($F7&lt;$G7,ISNUMBER($F7),ISNUMBER($G7)),1,0)</formula>
    </cfRule>
  </conditionalFormatting>
  <conditionalFormatting sqref="F41:F42">
    <cfRule type="expression" dxfId="5" priority="6" stopIfTrue="1">
      <formula>IF(AND($F41&gt;$G41,ISNUMBER($F41),ISNUMBER($G41)),1,0)</formula>
    </cfRule>
  </conditionalFormatting>
  <conditionalFormatting sqref="G41:G42">
    <cfRule type="expression" dxfId="4" priority="5" stopIfTrue="1">
      <formula>IF(AND($F41&lt;$G41,ISNUMBER($F41),ISNUMBER($G41)),1,0)</formula>
    </cfRule>
  </conditionalFormatting>
  <conditionalFormatting sqref="F49:F50">
    <cfRule type="expression" dxfId="3" priority="4" stopIfTrue="1">
      <formula>IF(AND($F49&gt;$G49,ISNUMBER($F49),ISNUMBER($G49)),1,0)</formula>
    </cfRule>
  </conditionalFormatting>
  <conditionalFormatting sqref="G49:G50">
    <cfRule type="expression" dxfId="2" priority="3" stopIfTrue="1">
      <formula>IF(AND($F49&lt;$G49,ISNUMBER($F49),ISNUMBER($G49)),1,0)</formula>
    </cfRule>
  </conditionalFormatting>
  <conditionalFormatting sqref="F51:F52">
    <cfRule type="expression" dxfId="1" priority="2" stopIfTrue="1">
      <formula>IF(AND($F51&gt;$G51,ISNUMBER($F51),ISNUMBER($G51)),1,0)</formula>
    </cfRule>
  </conditionalFormatting>
  <conditionalFormatting sqref="G51:G52">
    <cfRule type="expression" dxfId="0" priority="1" stopIfTrue="1">
      <formula>IF(AND($F51&lt;$G51,ISNUMBER($F51),ISNUMBER($G51)),1,0)</formula>
    </cfRule>
  </conditionalFormatting>
  <dataValidations count="2">
    <dataValidation type="list" allowBlank="1" showInputMessage="1" showErrorMessage="1" sqref="BT35:BT36 BB26:BB27 BB10:BB11 BB14:BB15 BB30:BB31 BB18:BB19 BB22:BB23 BB34:BB35 BB38:BB39 BH12:BH13 BH20:BH21 BH28:BH29 BH36:BH37 BN16:BN17 BN32:BN33 BT23:BT24 F7:G55">
      <formula1>"0,1,2,3,4,5,6,7,8,9"</formula1>
    </dataValidation>
    <dataValidation type="list" allowBlank="1" showInputMessage="1" showErrorMessage="1" sqref="BC10:BC11 BC14:BC15 BC26:BC27 BC30:BC31 BC18:BC19 BC22:BC23 BC34:BC35 BC38:BC39 BI12:BI13 BI20:BI21 BI28:BI29 BI36:BI37 BO16:BO17 BO32:BO33 BU23:BU24 BU35:BU36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1" orientation="landscape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Andrew Castiglione</cp:lastModifiedBy>
  <cp:lastPrinted>2014-05-23T20:10:24Z</cp:lastPrinted>
  <dcterms:created xsi:type="dcterms:W3CDTF">2008-09-24T12:14:29Z</dcterms:created>
  <dcterms:modified xsi:type="dcterms:W3CDTF">2014-07-13T21:37:41Z</dcterms:modified>
</cp:coreProperties>
</file>